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75011.sharepoint.com/sites/admin-afac/Documents partages/LABEL HAIE/VALORISATION/TYPE VALORISATIONS/LITIERE PLAQUETTE/MODELISATION/"/>
    </mc:Choice>
  </mc:AlternateContent>
  <xr:revisionPtr revIDLastSave="307" documentId="8_{1A0D9764-9E41-E945-80BF-A9D60A5D9E7F}" xr6:coauthVersionLast="47" xr6:coauthVersionMax="47" xr10:uidLastSave="{F445658D-415D-4A49-A2D1-A8894B057847}"/>
  <bookViews>
    <workbookView xWindow="-110" yWindow="-110" windowWidth="19420" windowHeight="10420" activeTab="3" xr2:uid="{BC392543-850A-3C4C-806F-CD27A565EB3D}"/>
  </bookViews>
  <sheets>
    <sheet name="Lis-moi-cas-Hervé" sheetId="2" r:id="rId1"/>
    <sheet name="Cas-de-Hervé" sheetId="11" r:id="rId2"/>
    <sheet name="Lis-moi-votre-cas" sheetId="5" r:id="rId3"/>
    <sheet name="Votre-cas" sheetId="12" r:id="rId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2" l="1"/>
  <c r="C18" i="12" s="1"/>
  <c r="C16" i="12"/>
  <c r="C12" i="12"/>
  <c r="C13" i="12" s="1"/>
  <c r="C14" i="12" s="1"/>
  <c r="K8" i="12"/>
  <c r="K21" i="12" s="1"/>
  <c r="K6" i="12"/>
  <c r="K7" i="12" s="1"/>
  <c r="O5" i="12"/>
  <c r="O6" i="12" s="1"/>
  <c r="G5" i="12"/>
  <c r="G9" i="12" s="1"/>
  <c r="G14" i="12" s="1"/>
  <c r="K28" i="11"/>
  <c r="C17" i="11"/>
  <c r="C12" i="11"/>
  <c r="C13" i="11" s="1"/>
  <c r="C14" i="11" s="1"/>
  <c r="K8" i="11"/>
  <c r="K12" i="11" s="1"/>
  <c r="K22" i="11" s="1"/>
  <c r="G8" i="11"/>
  <c r="K6" i="11"/>
  <c r="K7" i="11" s="1"/>
  <c r="O5" i="11"/>
  <c r="O6" i="11" s="1"/>
  <c r="G5" i="11"/>
  <c r="G13" i="11" s="1"/>
  <c r="K11" i="12" l="1"/>
  <c r="O15" i="12"/>
  <c r="O11" i="12"/>
  <c r="O17" i="12" s="1"/>
  <c r="K23" i="12"/>
  <c r="K17" i="12"/>
  <c r="K25" i="12" s="1"/>
  <c r="O10" i="12"/>
  <c r="K16" i="12"/>
  <c r="K12" i="12"/>
  <c r="K22" i="12" s="1"/>
  <c r="G8" i="12"/>
  <c r="O16" i="12"/>
  <c r="G13" i="12"/>
  <c r="G15" i="12" s="1"/>
  <c r="K24" i="12"/>
  <c r="C16" i="11"/>
  <c r="O15" i="11" s="1"/>
  <c r="C18" i="11"/>
  <c r="K24" i="11" s="1"/>
  <c r="G9" i="11"/>
  <c r="G14" i="11" s="1"/>
  <c r="G15" i="11" s="1"/>
  <c r="K16" i="11"/>
  <c r="O10" i="11"/>
  <c r="K21" i="11"/>
  <c r="K17" i="11"/>
  <c r="K25" i="11" s="1"/>
  <c r="K11" i="11"/>
  <c r="O11" i="11"/>
  <c r="O17" i="11" s="1"/>
  <c r="K26" i="12" l="1"/>
  <c r="O18" i="12"/>
  <c r="O20" i="12" s="1"/>
  <c r="K23" i="11"/>
  <c r="K26" i="11" s="1"/>
  <c r="O16" i="11"/>
  <c r="O18" i="11" s="1"/>
  <c r="O20" i="11" s="1"/>
  <c r="O22" i="12" l="1"/>
  <c r="K28" i="12"/>
  <c r="O2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tc={3508477A-2930-0740-B64A-3300AA17439A}</author>
    <author>tc={C428B24F-E7FB-B84E-B87F-5F01B3296394}</author>
    <author>tc={76F505ED-CE51-6D4E-9274-7343426163CA}</author>
    <author>tc={7840CE6C-E37F-9F4B-A5F4-153FC689ECEF}</author>
    <author>tc={2BD86AF6-8045-9A4E-8039-B90B71D1BC20}</author>
    <author>tc={DB434E8B-4C53-944F-83AA-040A5DE06299}</author>
    <author>tc={7919B8DA-937B-F742-9772-39D76633E7E7}</author>
    <author>tc={0E501914-6931-A340-A31B-BD7DC07EC0B9}</author>
    <author>tc={FAA628D4-1E3D-4F62-B95E-16CF75D181BD}</author>
  </authors>
  <commentList>
    <comment ref="C5" authorId="0" shapeId="0" xr:uid="{3508477A-2930-0740-B64A-3300AA17439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Vache d’une même stabulation (nombre entier)</t>
      </text>
    </comment>
    <comment ref="C6" authorId="1" shapeId="0" xr:uid="{C428B24F-E7FB-B84E-B87F-5F01B329639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Une même stabulation en mètre carré</t>
      </text>
    </comment>
    <comment ref="C7" authorId="2" shapeId="0" xr:uid="{76F505ED-CE51-6D4E-9274-7343426163C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nombre de jours (nombre de mois x 30)</t>
      </text>
    </comment>
    <comment ref="C9" authorId="3" shapeId="0" xr:uid="{7840CE6C-E37F-9F4B-A5F4-153FC689ECE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tonnes de paille produite</t>
      </text>
    </comment>
    <comment ref="G10" authorId="4" shapeId="0" xr:uid="{2BD86AF6-8045-9A4E-8039-B90B71D1BC2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prix de la paille achetée en euros par tonne</t>
      </text>
    </comment>
    <comment ref="C11" authorId="5" shapeId="0" xr:uid="{DB434E8B-4C53-944F-83AA-040A5DE0629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mètre linéaire</t>
      </text>
    </comment>
    <comment ref="C12" authorId="6" shapeId="0" xr:uid="{7919B8DA-937B-F742-9772-39D76633E7E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mètre linéaire</t>
      </text>
    </comment>
    <comment ref="C13" authorId="7" shapeId="0" xr:uid="{0E501914-6931-A340-A31B-BD7DC07EC0B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tonne de bois sec</t>
      </text>
    </comment>
    <comment ref="C15" authorId="8" shapeId="0" xr:uid="{FAA628D4-1E3D-4F62-B95E-16CF75D181B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Répondre : oui ou non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tc={DE44534F-1B54-4352-AFB7-2E1CE1C0095C}</author>
    <author>tc={62D0DFD5-8482-4FBE-980A-3A7F0C0CDAC6}</author>
    <author>tc={1C6A5BCA-EE83-4839-9C0A-A7AECF46D05C}</author>
    <author>tc={B911A558-0E6B-4060-98C2-EB96B27EE016}</author>
    <author>tc={CB841F5E-94BF-4319-A7C3-043FBEF612B9}</author>
    <author>tc={E080AFA3-E035-45C9-9F5E-AD91BD43A58E}</author>
    <author>tc={99CAF3E3-0CAE-4529-BDAD-A17FF994367C}</author>
    <author>tc={2A0F6406-D429-4472-A1DF-BBEBCD1F1D34}</author>
    <author>tc={24713B01-8BE5-47BE-A76B-BE6BAEBBF0DB}</author>
  </authors>
  <commentList>
    <comment ref="C5" authorId="0" shapeId="0" xr:uid="{DE44534F-1B54-4352-AFB7-2E1CE1C0095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Vache d’une même stabulation (nombre entier)</t>
      </text>
    </comment>
    <comment ref="C6" authorId="1" shapeId="0" xr:uid="{62D0DFD5-8482-4FBE-980A-3A7F0C0CDAC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Une même stabulation en mètre carré</t>
      </text>
    </comment>
    <comment ref="C7" authorId="2" shapeId="0" xr:uid="{1C6A5BCA-EE83-4839-9C0A-A7AECF46D05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nombre de jours (nombre de mois x 30)</t>
      </text>
    </comment>
    <comment ref="C9" authorId="3" shapeId="0" xr:uid="{B911A558-0E6B-4060-98C2-EB96B27EE01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tonnes de paille produite</t>
      </text>
    </comment>
    <comment ref="G10" authorId="4" shapeId="0" xr:uid="{CB841F5E-94BF-4319-A7C3-043FBEF612B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prix de la paille achetée en euros par tonne</t>
      </text>
    </comment>
    <comment ref="C11" authorId="5" shapeId="0" xr:uid="{E080AFA3-E035-45C9-9F5E-AD91BD43A58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mètre linéaire</t>
      </text>
    </comment>
    <comment ref="C12" authorId="6" shapeId="0" xr:uid="{99CAF3E3-0CAE-4529-BDAD-A17FF994367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mètre linéaire</t>
      </text>
    </comment>
    <comment ref="C13" authorId="7" shapeId="0" xr:uid="{2A0F6406-D429-4472-A1DF-BBEBCD1F1D3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 tonne de bois sec</t>
      </text>
    </comment>
    <comment ref="C15" authorId="8" shapeId="0" xr:uid="{24713B01-8BE5-47BE-A76B-BE6BAEBBF0D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Répondre : oui ou non</t>
      </text>
    </comment>
  </commentList>
</comments>
</file>

<file path=xl/sharedStrings.xml><?xml version="1.0" encoding="utf-8"?>
<sst xmlns="http://schemas.openxmlformats.org/spreadsheetml/2006/main" count="189" uniqueCount="92">
  <si>
    <t>Nombre de vache</t>
  </si>
  <si>
    <t>Auto-production de paille (t)</t>
  </si>
  <si>
    <t>Mon atelier animal</t>
  </si>
  <si>
    <t>Mon atelier végétal</t>
  </si>
  <si>
    <t>Volume de plaquette (m3)</t>
  </si>
  <si>
    <t>CAS 1 : litière 100% paille</t>
  </si>
  <si>
    <t>Ai-je assez de bois ?</t>
  </si>
  <si>
    <t>Quantité de bois à acheter (t)</t>
  </si>
  <si>
    <t>Quantité de paille à acheter (t)</t>
  </si>
  <si>
    <t>Mon atelier haie</t>
  </si>
  <si>
    <t>Eleveur bovin allaitant</t>
  </si>
  <si>
    <t>168 charolaises</t>
  </si>
  <si>
    <t>Il produit de la paille sur son exploitation</t>
  </si>
  <si>
    <t>Il a environ 14 kml de haies sur son exploitation. Il fait faire l'abattage et le dechiquetage par une CUMA.</t>
  </si>
  <si>
    <t>Dans une stabule de 1176 m2, pendant 6 mois</t>
  </si>
  <si>
    <t>Le coût total de ma litière :</t>
  </si>
  <si>
    <t>Cas 3 : Litière 100% plaquette</t>
  </si>
  <si>
    <t>Le coût total de ma litière 100% paille :</t>
  </si>
  <si>
    <t>Besoin en quantité de litière</t>
  </si>
  <si>
    <t>Achat de paille externe</t>
  </si>
  <si>
    <t>Achat de plaquette externe</t>
  </si>
  <si>
    <t>Total coût</t>
  </si>
  <si>
    <t>Plaquette achetée</t>
  </si>
  <si>
    <t>Total du linéaire de haies présentes sur l'exploitation (ml)</t>
  </si>
  <si>
    <t>Oui</t>
  </si>
  <si>
    <t>Ai-je besoin d'acheter de la paille ?</t>
  </si>
  <si>
    <t>Cas 2 : L'année n'est pas très bonne. Même production de paille que le CAS 1. Hervé décide d'utiliser son bois. Il met une sous couche de 10 cm dans sa stabulation avant l'hiver qu'il laisse pendant 20 jours puis il paille.</t>
  </si>
  <si>
    <t>Le coût total de ma litière mixte :</t>
  </si>
  <si>
    <t>Guide :</t>
  </si>
  <si>
    <t>Côté haies</t>
  </si>
  <si>
    <t>Côté paille</t>
  </si>
  <si>
    <t>Données utilisées :</t>
  </si>
  <si>
    <t>Le paillage est moins fréquent, on l'estime à un paillage tous les 1,5 jours.</t>
  </si>
  <si>
    <t>Surface stabulation (m2)</t>
  </si>
  <si>
    <t>Durée dans la stabulation (j)</t>
  </si>
  <si>
    <t>Gain économique de la litière mixte par rapport à la litière 100% paille</t>
  </si>
  <si>
    <t>Gain économique de la litière 100% plaquette par rapport à la litière 100% paille</t>
  </si>
  <si>
    <t>Gain économique de la litière 100% plaquette par rapport à la litière mixte</t>
  </si>
  <si>
    <t>Prix paille achetée (+ livraison) (euro/t)</t>
  </si>
  <si>
    <t>Prix paille achetée (+livraison) (euro/t)</t>
  </si>
  <si>
    <t>Paille achetée</t>
  </si>
  <si>
    <t>Cas 1 : Le linéaire est estimé par le PGDH, vous pouvez compléter vous-même cette case</t>
  </si>
  <si>
    <t>Cas 1 : La quantité est estimée par le PGDH, vous pouvez compléter vous-même cette case</t>
  </si>
  <si>
    <t>Rôle :</t>
  </si>
  <si>
    <t>Volume produit (m3 bois sec)</t>
  </si>
  <si>
    <t>Litière : 100% paille (t)</t>
  </si>
  <si>
    <t>Paille auto-produite</t>
  </si>
  <si>
    <t>Coût de la gestion (calcul de l'Afac-Agroforesteries)</t>
  </si>
  <si>
    <t>Quantité de plaquette (t)</t>
  </si>
  <si>
    <t>Quelle haie prendre en compte ?</t>
  </si>
  <si>
    <t>1) Les lisières : pas comptabilisées si &gt; 0,5 ha</t>
  </si>
  <si>
    <t>2) Les haies mitoyennes : Il faut avant tout bien vérifier qu’il s’agit d’une « vraie haie mitoyenne ».
En effet, la mitoyenneté est peu courante dans les territoires. Voir FAQ Label Haie (https://docs.google.com/document/d/1_gQYJNbnFI0pmI5M8jItJmFxZiTccyvZ/edit)</t>
  </si>
  <si>
    <t xml:space="preserve"> </t>
  </si>
  <si>
    <t>Cas 2 : Litière mixte paille et plaquette (sous-couche de … cm)</t>
  </si>
  <si>
    <t>Epaisseur de la sous-couche de copeaux (cm)</t>
  </si>
  <si>
    <t>Cas 2 : Sans PGDH, le linéaire prélevable annuellement est estimé à 1/20ème du linéaire total.</t>
  </si>
  <si>
    <t>1/10ème (contexte poussant), 1/20ème (contexte moyennement poussant) ou 1/30ème (contexte peu poussant)</t>
  </si>
  <si>
    <t>C'est un cycle de gestion moyen. Ce cycle varie selon le contexte pédoclimatique du territoire étudié entre</t>
  </si>
  <si>
    <t>Gestion des haies avec tronçonneuse</t>
  </si>
  <si>
    <t>Gestion des haies avec tête d'abattage</t>
  </si>
  <si>
    <t>Gestion des haies avec tronçonneuse (ml)</t>
  </si>
  <si>
    <t>Gestion des haies avec tête d'abattage (ml)</t>
  </si>
  <si>
    <t>Gestion des haies à la tronçonneuse, avec coupe en hauteur et sans le coût de la main d'oeuvre = 39,21 euros la tonne de bois vert</t>
  </si>
  <si>
    <t>Gestion des haies avec tête d'abattage, avec coupe en hauteur et sans le coût de la main d'oeuvre  = 47,49 euros la tonne de bois vert</t>
  </si>
  <si>
    <t>Cet outil de modélisation du poste litière plaquette permet de faire un bilan comparatif des différentes litières pouvant être utilisées en élevage : litière 100% paille, litière mixte et litière 100% plaquette. Ce bilan est à nuancer en prenant en compte les services écosystémiques rendus par les haies, le bilan carbone du transport de paille et de bois, l'autonomie en litière, la pénibilité du travail…</t>
  </si>
  <si>
    <t xml:space="preserve">Cas 1 : L'année n'est pas très bonne. Hervé a pressé seulement 137 t de paille. Il veut une litière seulement avec de la paille pour ses vaches. Il doit donc acheter de la paille. Ses voisins n'ont pas produit assez de paille. Il doit donc en faire livrer : 90 euros la tonne de paille pressée et livrée. </t>
  </si>
  <si>
    <t>Cas 3 : L'année est catastrophique. Hervé n'a pas récolté de paille. Il décide de mettre en place une litière 100% plaquette. Il n'a pas assez de linéaire pour ça. Il achète des têtes de chênes à 60 euros la tonne. Il met des couches de 10 cm de plaquette tous les 15 jours (donc 12 fois pendant les 6 mois en stabulation)</t>
  </si>
  <si>
    <t>Cas 2 : La quantité est estimée  à 10 t de bois vert pour 100 ml (estimation basse de production)</t>
  </si>
  <si>
    <r>
      <t xml:space="preserve">Quantité de paille (t) </t>
    </r>
    <r>
      <rPr>
        <sz val="11"/>
        <color theme="9"/>
        <rFont val="Arial"/>
        <family val="2"/>
      </rPr>
      <t>(3)</t>
    </r>
  </si>
  <si>
    <r>
      <t>Linéaire prélevable annuellement selon le PGDH (ml)</t>
    </r>
    <r>
      <rPr>
        <sz val="11"/>
        <color theme="9"/>
        <rFont val="Arial"/>
        <family val="2"/>
      </rPr>
      <t xml:space="preserve"> (1)</t>
    </r>
  </si>
  <si>
    <r>
      <t xml:space="preserve">Prix du bois acheté (euro/t) </t>
    </r>
    <r>
      <rPr>
        <sz val="11"/>
        <color theme="9"/>
        <rFont val="Arial"/>
        <family val="2"/>
      </rPr>
      <t>(4)</t>
    </r>
  </si>
  <si>
    <r>
      <t>Quantité produite (t sèche)</t>
    </r>
    <r>
      <rPr>
        <sz val="11"/>
        <color theme="9"/>
        <rFont val="Arial"/>
        <family val="2"/>
      </rPr>
      <t xml:space="preserve"> (2)</t>
    </r>
  </si>
  <si>
    <r>
      <rPr>
        <i/>
        <sz val="11"/>
        <color theme="9"/>
        <rFont val="Arial"/>
        <family val="2"/>
      </rPr>
      <t xml:space="preserve">(1) </t>
    </r>
    <r>
      <rPr>
        <i/>
        <sz val="11"/>
        <color theme="1"/>
        <rFont val="Arial"/>
        <family val="2"/>
      </rPr>
      <t>Ce linéaire peut etre estimé :</t>
    </r>
  </si>
  <si>
    <r>
      <rPr>
        <i/>
        <sz val="11"/>
        <color theme="9"/>
        <rFont val="Arial"/>
        <family val="2"/>
      </rPr>
      <t xml:space="preserve">(2) </t>
    </r>
    <r>
      <rPr>
        <i/>
        <sz val="11"/>
        <color theme="1"/>
        <rFont val="Arial"/>
        <family val="2"/>
      </rPr>
      <t>Cette quantité peut être estimée :</t>
    </r>
  </si>
  <si>
    <r>
      <rPr>
        <i/>
        <sz val="11"/>
        <color theme="9"/>
        <rFont val="Arial"/>
        <family val="2"/>
      </rPr>
      <t>(3)</t>
    </r>
    <r>
      <rPr>
        <i/>
        <sz val="11"/>
        <color theme="1"/>
        <rFont val="Arial"/>
        <family val="2"/>
      </rPr>
      <t xml:space="preserve"> La sous-couche de plaquette est plus drainante et laisse la paille propre plus longtemps.</t>
    </r>
  </si>
  <si>
    <r>
      <rPr>
        <i/>
        <sz val="11"/>
        <color theme="9"/>
        <rFont val="Arial"/>
        <family val="2"/>
      </rPr>
      <t>(4)</t>
    </r>
    <r>
      <rPr>
        <i/>
        <sz val="11"/>
        <color theme="1"/>
        <rFont val="Arial"/>
        <family val="2"/>
      </rPr>
      <t xml:space="preserve"> Le prix du bois est estimé à 50 euros la tonne sèche</t>
    </r>
  </si>
  <si>
    <r>
      <rPr>
        <b/>
        <sz val="11"/>
        <color theme="1"/>
        <rFont val="Arial"/>
        <family val="2"/>
      </rPr>
      <t>Cas 1</t>
    </r>
    <r>
      <rPr>
        <sz val="11"/>
        <color theme="1"/>
        <rFont val="Arial"/>
        <family val="2"/>
      </rPr>
      <t xml:space="preserve"> : Litière 100% paille. Paillage tous les jours de 8-10 kg de paille / vache / jour.</t>
    </r>
  </si>
  <si>
    <r>
      <rPr>
        <b/>
        <sz val="11"/>
        <color theme="1"/>
        <rFont val="Arial"/>
        <family val="2"/>
      </rPr>
      <t>Cas 2</t>
    </r>
    <r>
      <rPr>
        <sz val="11"/>
        <color theme="1"/>
        <rFont val="Arial"/>
        <family val="2"/>
      </rPr>
      <t xml:space="preserve"> : Litière mixte. Sous couche de 10 cm de plaquette pendant 20 jours puis paillage tous les jours de 8-10 kg de paille / vache / jour</t>
    </r>
  </si>
  <si>
    <r>
      <rPr>
        <b/>
        <sz val="11"/>
        <color theme="1"/>
        <rFont val="Arial"/>
        <family val="2"/>
      </rPr>
      <t>Cas 3</t>
    </r>
    <r>
      <rPr>
        <sz val="11"/>
        <color theme="1"/>
        <rFont val="Arial"/>
        <family val="2"/>
      </rPr>
      <t xml:space="preserve"> : Litière 100% plaquette. Couche de 10 cm de plaquette tous les 15 jours</t>
    </r>
  </si>
  <si>
    <r>
      <rPr>
        <b/>
        <sz val="11"/>
        <color theme="1"/>
        <rFont val="Arial"/>
        <family val="2"/>
      </rPr>
      <t xml:space="preserve">Les cases rouges : </t>
    </r>
    <r>
      <rPr>
        <sz val="11"/>
        <color theme="1"/>
        <rFont val="Arial"/>
        <family val="2"/>
      </rPr>
      <t>Vous devez compléter les cases rouges avec vos propres données. Si elles ne sont pas remplies, le calcul sera faussé. L'unité de la donnée à remplir est énoncée dans le commentaire de la case.</t>
    </r>
  </si>
  <si>
    <r>
      <rPr>
        <b/>
        <sz val="11"/>
        <color theme="1"/>
        <rFont val="Arial"/>
        <family val="2"/>
      </rPr>
      <t>Les cases vertes :</t>
    </r>
    <r>
      <rPr>
        <sz val="11"/>
        <color theme="1"/>
        <rFont val="Arial"/>
        <family val="2"/>
      </rPr>
      <t xml:space="preserve"> Vous pouvez les compléter si vous avez vos propres données. Sinon, elles sont complétées automatiquement par des références de l'Afac-Agroforesteries.</t>
    </r>
  </si>
  <si>
    <r>
      <rPr>
        <b/>
        <sz val="11"/>
        <color theme="1"/>
        <rFont val="Arial"/>
        <family val="2"/>
      </rPr>
      <t>Linéaire prélevable :</t>
    </r>
    <r>
      <rPr>
        <sz val="11"/>
        <color theme="1"/>
        <rFont val="Arial"/>
        <family val="2"/>
      </rPr>
      <t xml:space="preserve"> estimé avec le PGDH réalisé ou défini comme étant 1/10 du linéaire total, 1/20 ou 1/30 selon le contexte poussant, moyennement poussant ou peu poussant</t>
    </r>
  </si>
  <si>
    <r>
      <rPr>
        <b/>
        <sz val="11"/>
        <color theme="1"/>
        <rFont val="Arial"/>
        <family val="2"/>
      </rPr>
      <t>Besoin en paille :</t>
    </r>
    <r>
      <rPr>
        <sz val="11"/>
        <color theme="1"/>
        <rFont val="Arial"/>
        <family val="2"/>
      </rPr>
      <t xml:space="preserve"> 9 kg/vache/jour (Source : Réussir Bovin viande : https://www.reussir.fr/bovins-viande/attention-aux-couts-de-fonctionnement)</t>
    </r>
  </si>
  <si>
    <r>
      <rPr>
        <b/>
        <sz val="11"/>
        <color theme="1"/>
        <rFont val="Arial"/>
        <family val="2"/>
      </rPr>
      <t xml:space="preserve">Quantité de bois produit : </t>
    </r>
    <r>
      <rPr>
        <sz val="11"/>
        <color theme="1"/>
        <rFont val="Arial"/>
        <family val="2"/>
      </rPr>
      <t xml:space="preserve">100 ml géré durablement = 10 t de bois vert </t>
    </r>
  </si>
  <si>
    <r>
      <rPr>
        <b/>
        <sz val="11"/>
        <color theme="1"/>
        <rFont val="Arial"/>
        <family val="2"/>
      </rPr>
      <t>Coût autoproduction paille :</t>
    </r>
    <r>
      <rPr>
        <sz val="11"/>
        <color theme="1"/>
        <rFont val="Arial"/>
        <family val="2"/>
      </rPr>
      <t xml:space="preserve"> 45 euros / t (source : GIEE Nièvre)</t>
    </r>
  </si>
  <si>
    <r>
      <rPr>
        <b/>
        <sz val="11"/>
        <color theme="1"/>
        <rFont val="Arial"/>
        <family val="2"/>
      </rPr>
      <t>Equivalence bois vert - bois sec :</t>
    </r>
    <r>
      <rPr>
        <sz val="11"/>
        <color theme="1"/>
        <rFont val="Arial"/>
        <family val="2"/>
      </rPr>
      <t xml:space="preserve"> 1 t de bois vert = 0,65 t de bois sec</t>
    </r>
  </si>
  <si>
    <r>
      <t xml:space="preserve">Coefficient de conversion tonne de bois à volume de bois : </t>
    </r>
    <r>
      <rPr>
        <sz val="11"/>
        <color theme="1"/>
        <rFont val="Arial"/>
        <family val="2"/>
      </rPr>
      <t>1 tonne de bois sec = 3,85 MAP sec</t>
    </r>
  </si>
  <si>
    <t>VOTRE OUTIL DE MODELISATION</t>
  </si>
  <si>
    <t>OUTIL DE MODELISATION COÛT PAILLE vs LITIERE PLAQUETTE
pour une ferme</t>
  </si>
  <si>
    <t>Mon exploitation agricole</t>
  </si>
  <si>
    <t>Caractéristiques de la ferme de Hervé :</t>
  </si>
  <si>
    <t>OUTIL DE MODELISATION COÛT PAILLE vs LITIERE PLAQUETTE
Exemple d'Hervé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</si>
</sst>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0\ &quot;€&quot;"/>
    <numFmt numFmtId="166" formatCode="0.000"/>
  </numFmts>
  <fonts count="14" x14ac:knownFonts="1">
    <font>
      <sz val="12"/>
      <color theme="1"/>
      <name val="Calibri"/>
      <family val="2"/>
      <scheme val="minor"/>
    </font>
    <font>
      <b/>
      <sz val="11"/>
      <color rgb="FFFF0000"/>
      <name val="Arial"/>
      <family val="2"/>
    </font>
    <font>
      <sz val="11"/>
      <color theme="1"/>
      <name val="Arial"/>
      <family val="2"/>
    </font>
    <font>
      <b/>
      <sz val="11"/>
      <color theme="1"/>
      <name val="Arial"/>
      <family val="2"/>
    </font>
    <font>
      <sz val="11"/>
      <color theme="9"/>
      <name val="Arial"/>
      <family val="2"/>
    </font>
    <font>
      <i/>
      <sz val="11"/>
      <color theme="1"/>
      <name val="Arial"/>
      <family val="2"/>
    </font>
    <font>
      <i/>
      <sz val="11"/>
      <color theme="9"/>
      <name val="Arial"/>
      <family val="2"/>
    </font>
    <font>
      <b/>
      <sz val="11"/>
      <color theme="0"/>
      <name val="Arial"/>
      <family val="2"/>
    </font>
    <font>
      <sz val="11"/>
      <color rgb="FFFF0000"/>
      <name val="Arial"/>
      <family val="2"/>
    </font>
    <font>
      <i/>
      <sz val="11"/>
      <color rgb="FFFF0000"/>
      <name val="Arial"/>
      <family val="2"/>
    </font>
    <font>
      <b/>
      <sz val="18"/>
      <color rgb="FF0E4F2E"/>
      <name val="Arial"/>
      <family val="2"/>
    </font>
    <font>
      <sz val="11"/>
      <color rgb="FF0E4F2E"/>
      <name val="Arial"/>
      <family val="2"/>
    </font>
    <font>
      <sz val="18"/>
      <color rgb="FF0E4F2E"/>
      <name val="Arial"/>
      <family val="2"/>
    </font>
    <font>
      <sz val="9"/>
      <color indexed="81"/>
      <name val="Tahoma"/>
      <family val="2"/>
    </font>
  </fonts>
  <fills count="11">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2"/>
        <bgColor indexed="64"/>
      </patternFill>
    </fill>
    <fill>
      <patternFill patternType="solid">
        <fgColor rgb="FFA6D49B"/>
        <bgColor indexed="64"/>
      </patternFill>
    </fill>
    <fill>
      <patternFill patternType="solid">
        <fgColor rgb="FF96D0C5"/>
        <bgColor indexed="64"/>
      </patternFill>
    </fill>
    <fill>
      <patternFill patternType="solid">
        <fgColor rgb="FFD1A89C"/>
        <bgColor indexed="64"/>
      </patternFill>
    </fill>
    <fill>
      <patternFill patternType="solid">
        <fgColor rgb="FFDDE9B2"/>
        <bgColor indexed="64"/>
      </patternFill>
    </fill>
    <fill>
      <patternFill patternType="solid">
        <fgColor rgb="FF99B892"/>
        <bgColor indexed="64"/>
      </patternFill>
    </fill>
    <fill>
      <patternFill patternType="solid">
        <fgColor rgb="FFCBE2B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style="thin">
        <color indexed="64"/>
      </right>
      <top/>
      <bottom/>
      <diagonal/>
    </border>
    <border>
      <left style="medium">
        <color rgb="FFC00000"/>
      </left>
      <right style="medium">
        <color rgb="FFC00000"/>
      </right>
      <top style="medium">
        <color rgb="FFC00000"/>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C00000"/>
      </left>
      <right/>
      <top/>
      <bottom/>
      <diagonal/>
    </border>
    <border>
      <left/>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medium">
        <color rgb="FFC00000"/>
      </bottom>
      <diagonal/>
    </border>
  </borders>
  <cellStyleXfs count="1">
    <xf numFmtId="0" fontId="0" fillId="0" borderId="0"/>
  </cellStyleXfs>
  <cellXfs count="103">
    <xf numFmtId="0" fontId="0" fillId="0" borderId="0" xfId="0"/>
    <xf numFmtId="0" fontId="1" fillId="0" borderId="0" xfId="0" applyFont="1"/>
    <xf numFmtId="0" fontId="2" fillId="0" borderId="0" xfId="0" applyFont="1"/>
    <xf numFmtId="0" fontId="2" fillId="2" borderId="0" xfId="0" applyFont="1" applyFill="1" applyAlignment="1">
      <alignment wrapText="1"/>
    </xf>
    <xf numFmtId="0" fontId="1" fillId="0" borderId="0" xfId="0" applyFont="1" applyAlignment="1">
      <alignment horizontal="center"/>
    </xf>
    <xf numFmtId="2" fontId="2" fillId="0" borderId="1" xfId="0" applyNumberFormat="1" applyFont="1" applyBorder="1"/>
    <xf numFmtId="0" fontId="2" fillId="0" borderId="10" xfId="0" applyFont="1" applyBorder="1"/>
    <xf numFmtId="0" fontId="2" fillId="0" borderId="0" xfId="0" applyFont="1" applyAlignment="1">
      <alignment horizontal="center"/>
    </xf>
    <xf numFmtId="2" fontId="2" fillId="0" borderId="7" xfId="0" applyNumberFormat="1" applyFont="1" applyBorder="1"/>
    <xf numFmtId="1" fontId="2" fillId="0" borderId="0" xfId="0" applyNumberFormat="1" applyFont="1"/>
    <xf numFmtId="0" fontId="2" fillId="0" borderId="1" xfId="0" applyFont="1" applyBorder="1"/>
    <xf numFmtId="2" fontId="2" fillId="0" borderId="6" xfId="0" applyNumberFormat="1" applyFont="1" applyBorder="1"/>
    <xf numFmtId="0" fontId="1" fillId="0" borderId="4" xfId="0" applyFont="1" applyBorder="1" applyAlignment="1">
      <alignment horizontal="center"/>
    </xf>
    <xf numFmtId="1" fontId="2" fillId="0" borderId="1" xfId="0" applyNumberFormat="1" applyFont="1" applyBorder="1"/>
    <xf numFmtId="0" fontId="2" fillId="0" borderId="6" xfId="0" applyFont="1" applyBorder="1" applyAlignment="1">
      <alignment horizontal="left"/>
    </xf>
    <xf numFmtId="0" fontId="2" fillId="0" borderId="15" xfId="0" applyFont="1" applyBorder="1"/>
    <xf numFmtId="165" fontId="2" fillId="0" borderId="1" xfId="0" applyNumberFormat="1" applyFont="1" applyBorder="1"/>
    <xf numFmtId="0" fontId="2" fillId="0" borderId="5" xfId="0" applyFont="1" applyBorder="1"/>
    <xf numFmtId="165" fontId="1" fillId="0" borderId="1" xfId="0" applyNumberFormat="1" applyFont="1" applyBorder="1"/>
    <xf numFmtId="0" fontId="2" fillId="0" borderId="16" xfId="0" applyFont="1" applyBorder="1"/>
    <xf numFmtId="0" fontId="5" fillId="0" borderId="0" xfId="0" applyFont="1"/>
    <xf numFmtId="166" fontId="2" fillId="0" borderId="17" xfId="0" applyNumberFormat="1" applyFont="1" applyBorder="1"/>
    <xf numFmtId="0" fontId="5" fillId="0" borderId="0" xfId="0" applyFont="1" applyAlignment="1">
      <alignment horizontal="left"/>
    </xf>
    <xf numFmtId="164" fontId="2" fillId="0" borderId="0" xfId="0" applyNumberFormat="1" applyFont="1"/>
    <xf numFmtId="0" fontId="7" fillId="0" borderId="0" xfId="0" applyFont="1" applyAlignment="1">
      <alignment horizontal="center"/>
    </xf>
    <xf numFmtId="165" fontId="7" fillId="0" borderId="0" xfId="0" applyNumberFormat="1" applyFont="1"/>
    <xf numFmtId="0" fontId="8" fillId="0" borderId="0" xfId="0" applyFont="1"/>
    <xf numFmtId="16" fontId="5" fillId="0" borderId="0" xfId="0" applyNumberFormat="1" applyFont="1"/>
    <xf numFmtId="165" fontId="2" fillId="0" borderId="0" xfId="0" applyNumberFormat="1" applyFont="1"/>
    <xf numFmtId="164" fontId="1" fillId="0" borderId="0" xfId="0" applyNumberFormat="1" applyFont="1"/>
    <xf numFmtId="0" fontId="9" fillId="0" borderId="0" xfId="0" applyFont="1"/>
    <xf numFmtId="0" fontId="1" fillId="4" borderId="14" xfId="0" applyFont="1" applyFill="1" applyBorder="1" applyAlignment="1">
      <alignment horizontal="left"/>
    </xf>
    <xf numFmtId="0" fontId="2" fillId="4" borderId="0" xfId="0" applyFont="1" applyFill="1" applyAlignment="1">
      <alignment horizontal="left"/>
    </xf>
    <xf numFmtId="0" fontId="3" fillId="2" borderId="0" xfId="0" applyFont="1" applyFill="1" applyAlignment="1">
      <alignment horizontal="center"/>
    </xf>
    <xf numFmtId="0" fontId="2" fillId="2" borderId="0" xfId="0" applyFont="1" applyFill="1"/>
    <xf numFmtId="0" fontId="3" fillId="2" borderId="0" xfId="0" applyFont="1" applyFill="1"/>
    <xf numFmtId="0" fontId="3" fillId="2" borderId="0" xfId="0" applyFont="1" applyFill="1" applyAlignment="1">
      <alignment wrapText="1"/>
    </xf>
    <xf numFmtId="0" fontId="3" fillId="0" borderId="0" xfId="0" applyFont="1" applyAlignment="1">
      <alignment horizontal="center"/>
    </xf>
    <xf numFmtId="2" fontId="2" fillId="7" borderId="11" xfId="0" applyNumberFormat="1" applyFont="1" applyFill="1" applyBorder="1"/>
    <xf numFmtId="2" fontId="2" fillId="7" borderId="9" xfId="0" applyNumberFormat="1" applyFont="1" applyFill="1" applyBorder="1"/>
    <xf numFmtId="0" fontId="11" fillId="0" borderId="0" xfId="0" applyFont="1"/>
    <xf numFmtId="0" fontId="12" fillId="0" borderId="0" xfId="0" applyFont="1"/>
    <xf numFmtId="2" fontId="2" fillId="7" borderId="9" xfId="0" applyNumberFormat="1" applyFont="1" applyFill="1" applyBorder="1" applyAlignment="1">
      <alignment horizontal="right"/>
    </xf>
    <xf numFmtId="0" fontId="2" fillId="7" borderId="9" xfId="0" applyFont="1" applyFill="1" applyBorder="1" applyAlignment="1">
      <alignment horizontal="right"/>
    </xf>
    <xf numFmtId="165" fontId="7" fillId="7" borderId="0" xfId="0" applyNumberFormat="1" applyFont="1" applyFill="1"/>
    <xf numFmtId="165" fontId="7" fillId="7" borderId="0" xfId="0" applyNumberFormat="1" applyFont="1" applyFill="1" applyAlignment="1">
      <alignment horizontal="right"/>
    </xf>
    <xf numFmtId="165" fontId="7" fillId="8" borderId="0" xfId="0" applyNumberFormat="1" applyFont="1" applyFill="1" applyAlignment="1">
      <alignment horizontal="right"/>
    </xf>
    <xf numFmtId="0" fontId="10" fillId="0" borderId="0" xfId="0" applyFont="1" applyAlignment="1">
      <alignment horizontal="center" vertical="center" wrapText="1"/>
    </xf>
    <xf numFmtId="1" fontId="2" fillId="9" borderId="1" xfId="0" applyNumberFormat="1" applyFont="1" applyFill="1" applyBorder="1"/>
    <xf numFmtId="1" fontId="2" fillId="6" borderId="1" xfId="0" applyNumberFormat="1" applyFont="1" applyFill="1" applyBorder="1"/>
    <xf numFmtId="1" fontId="2" fillId="8" borderId="1" xfId="0" applyNumberFormat="1" applyFont="1" applyFill="1" applyBorder="1"/>
    <xf numFmtId="0" fontId="2" fillId="8" borderId="1" xfId="0" applyFont="1" applyFill="1" applyBorder="1"/>
    <xf numFmtId="0" fontId="2" fillId="0" borderId="0" xfId="0" applyFont="1" applyAlignment="1">
      <alignment vertical="center" wrapText="1"/>
    </xf>
    <xf numFmtId="0" fontId="2" fillId="3" borderId="0" xfId="0" applyFont="1" applyFill="1" applyAlignment="1">
      <alignment vertical="center" wrapText="1"/>
    </xf>
    <xf numFmtId="0" fontId="10" fillId="0" borderId="0" xfId="0" applyFont="1" applyAlignment="1">
      <alignment horizontal="center"/>
    </xf>
    <xf numFmtId="0" fontId="10" fillId="0" borderId="5"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9" borderId="1" xfId="0" applyFont="1" applyFill="1" applyBorder="1" applyAlignment="1">
      <alignment horizontal="center"/>
    </xf>
    <xf numFmtId="0" fontId="2" fillId="5" borderId="1" xfId="0" applyFont="1" applyFill="1" applyBorder="1" applyAlignment="1">
      <alignment horizontal="center"/>
    </xf>
    <xf numFmtId="0" fontId="2" fillId="5" borderId="6" xfId="0" applyFont="1" applyFill="1" applyBorder="1" applyAlignment="1">
      <alignment horizontal="center"/>
    </xf>
    <xf numFmtId="0" fontId="2" fillId="9" borderId="1" xfId="0" applyFont="1" applyFill="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3" fillId="6" borderId="1" xfId="0" applyFont="1" applyFill="1" applyBorder="1" applyAlignment="1">
      <alignment horizontal="center"/>
    </xf>
    <xf numFmtId="0" fontId="2" fillId="0" borderId="4" xfId="0" applyFont="1" applyBorder="1" applyAlignment="1">
      <alignment horizontal="center"/>
    </xf>
    <xf numFmtId="0" fontId="2" fillId="6" borderId="1" xfId="0" applyFont="1" applyFill="1" applyBorder="1" applyAlignment="1">
      <alignment horizontal="center"/>
    </xf>
    <xf numFmtId="0" fontId="3" fillId="8" borderId="1" xfId="0" applyFont="1" applyFill="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6" xfId="0" applyFont="1" applyBorder="1" applyAlignment="1">
      <alignment horizontal="center"/>
    </xf>
    <xf numFmtId="0" fontId="2" fillId="8" borderId="1"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5" fillId="0" borderId="0" xfId="0" applyFont="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Alignment="1">
      <alignment horizontal="right"/>
    </xf>
    <xf numFmtId="0" fontId="1" fillId="4" borderId="14" xfId="0" applyFont="1" applyFill="1" applyBorder="1" applyAlignment="1">
      <alignment horizontal="left"/>
    </xf>
    <xf numFmtId="0" fontId="1" fillId="4" borderId="0" xfId="0" applyFont="1" applyFill="1" applyAlignment="1">
      <alignment horizontal="left"/>
    </xf>
    <xf numFmtId="0" fontId="3" fillId="0" borderId="0" xfId="0" applyFont="1" applyAlignment="1">
      <alignment horizontal="center"/>
    </xf>
    <xf numFmtId="0" fontId="1" fillId="8" borderId="0" xfId="0" applyFont="1" applyFill="1"/>
    <xf numFmtId="0" fontId="2" fillId="8" borderId="0" xfId="0" applyFont="1" applyFill="1"/>
    <xf numFmtId="0" fontId="2" fillId="8" borderId="0" xfId="0" applyFont="1" applyFill="1" applyAlignment="1">
      <alignment wrapText="1"/>
    </xf>
    <xf numFmtId="0" fontId="2" fillId="6" borderId="0" xfId="0" applyFont="1" applyFill="1" applyAlignment="1">
      <alignment vertical="center" wrapText="1"/>
    </xf>
    <xf numFmtId="0" fontId="2" fillId="10" borderId="0" xfId="0" applyFont="1" applyFill="1" applyAlignment="1">
      <alignment vertical="center" wrapText="1"/>
    </xf>
    <xf numFmtId="0" fontId="10" fillId="0" borderId="0" xfId="0" applyFont="1" applyAlignment="1">
      <alignment vertical="center"/>
    </xf>
    <xf numFmtId="0" fontId="2" fillId="8" borderId="14" xfId="0" applyFont="1" applyFill="1" applyBorder="1" applyAlignment="1">
      <alignment horizontal="left" wrapText="1"/>
    </xf>
    <xf numFmtId="0" fontId="2" fillId="8" borderId="0" xfId="0" applyFont="1" applyFill="1" applyAlignment="1">
      <alignment horizontal="left" wrapText="1"/>
    </xf>
    <xf numFmtId="0" fontId="2" fillId="8" borderId="14" xfId="0" applyFont="1" applyFill="1" applyBorder="1" applyAlignment="1">
      <alignment horizontal="left"/>
    </xf>
    <xf numFmtId="0" fontId="2" fillId="8" borderId="0" xfId="0" applyFont="1" applyFill="1" applyAlignment="1">
      <alignment horizontal="left"/>
    </xf>
    <xf numFmtId="0" fontId="3" fillId="6" borderId="0" xfId="0" applyFont="1" applyFill="1" applyAlignment="1">
      <alignment horizontal="center"/>
    </xf>
    <xf numFmtId="0" fontId="2" fillId="6" borderId="0" xfId="0" applyFont="1" applyFill="1" applyAlignment="1">
      <alignment wrapText="1"/>
    </xf>
    <xf numFmtId="0" fontId="2" fillId="6" borderId="0" xfId="0" applyFont="1" applyFill="1"/>
    <xf numFmtId="0" fontId="2" fillId="9" borderId="14" xfId="0" applyFont="1" applyFill="1" applyBorder="1" applyAlignment="1">
      <alignment horizontal="left" wrapText="1"/>
    </xf>
    <xf numFmtId="0" fontId="2" fillId="9" borderId="0" xfId="0" applyFont="1" applyFill="1" applyAlignment="1">
      <alignment horizontal="left" wrapText="1"/>
    </xf>
    <xf numFmtId="0" fontId="2" fillId="9" borderId="14" xfId="0" applyFont="1" applyFill="1" applyBorder="1" applyAlignment="1">
      <alignment horizontal="left"/>
    </xf>
    <xf numFmtId="0" fontId="2" fillId="9" borderId="0" xfId="0" applyFont="1" applyFill="1" applyAlignment="1">
      <alignment horizontal="left"/>
    </xf>
    <xf numFmtId="0" fontId="2" fillId="9" borderId="14" xfId="0" applyFont="1" applyFill="1" applyBorder="1" applyAlignment="1">
      <alignment horizontal="left"/>
    </xf>
    <xf numFmtId="0" fontId="2" fillId="9" borderId="0" xfId="0" applyFont="1" applyFill="1" applyAlignment="1">
      <alignment horizontal="left"/>
    </xf>
    <xf numFmtId="1" fontId="2" fillId="7" borderId="11" xfId="0" applyNumberFormat="1" applyFont="1" applyFill="1" applyBorder="1"/>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9B892"/>
      <color rgb="FF96D0C5"/>
      <color rgb="FFDDE9B2"/>
      <color rgb="FFD1A89C"/>
      <color rgb="FFCBE2B8"/>
      <color rgb="FFA6D49B"/>
      <color rgb="FF8C4138"/>
      <color rgb="FF0E4F2E"/>
      <color rgb="FF94CFC7"/>
      <color rgb="FF009F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5397500</xdr:colOff>
      <xdr:row>0</xdr:row>
      <xdr:rowOff>508000</xdr:rowOff>
    </xdr:from>
    <xdr:to>
      <xdr:col>0</xdr:col>
      <xdr:colOff>7773035</xdr:colOff>
      <xdr:row>1</xdr:row>
      <xdr:rowOff>54665</xdr:rowOff>
    </xdr:to>
    <xdr:pic>
      <xdr:nvPicPr>
        <xdr:cNvPr id="2" name="Image 1" descr="Une image contenant texte&#10;&#10;Description générée automatiquement">
          <a:extLst>
            <a:ext uri="{FF2B5EF4-FFF2-40B4-BE49-F238E27FC236}">
              <a16:creationId xmlns:a16="http://schemas.microsoft.com/office/drawing/2014/main" id="{15DA9F69-B9B3-D897-2139-867ECBA21E44}"/>
            </a:ext>
          </a:extLst>
        </xdr:cNvPr>
        <xdr:cNvPicPr>
          <a:picLocks noChangeAspect="1"/>
        </xdr:cNvPicPr>
      </xdr:nvPicPr>
      <xdr:blipFill>
        <a:blip xmlns:r="http://schemas.openxmlformats.org/officeDocument/2006/relationships" r:embed="rId1"/>
        <a:stretch>
          <a:fillRect/>
        </a:stretch>
      </xdr:blipFill>
      <xdr:spPr bwMode="auto">
        <a:xfrm>
          <a:off x="5397500" y="508000"/>
          <a:ext cx="2375535" cy="715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595314</xdr:colOff>
      <xdr:row>0</xdr:row>
      <xdr:rowOff>119062</xdr:rowOff>
    </xdr:from>
    <xdr:to>
      <xdr:col>5</xdr:col>
      <xdr:colOff>1931459</xdr:colOff>
      <xdr:row>0</xdr:row>
      <xdr:rowOff>1157795</xdr:rowOff>
    </xdr:to>
    <xdr:pic>
      <xdr:nvPicPr>
        <xdr:cNvPr id="2" name="Image 1" descr="Une image contenant texte&#10;&#10;Description générée automatiquement">
          <a:extLst>
            <a:ext uri="{FF2B5EF4-FFF2-40B4-BE49-F238E27FC236}">
              <a16:creationId xmlns:a16="http://schemas.microsoft.com/office/drawing/2014/main" id="{671BD89C-0325-4D14-9FF2-1FF5EA6D2B33}"/>
            </a:ext>
          </a:extLst>
        </xdr:cNvPr>
        <xdr:cNvPicPr>
          <a:picLocks noChangeAspect="1"/>
        </xdr:cNvPicPr>
      </xdr:nvPicPr>
      <xdr:blipFill>
        <a:blip xmlns:r="http://schemas.openxmlformats.org/officeDocument/2006/relationships" r:embed="rId1"/>
        <a:stretch>
          <a:fillRect/>
        </a:stretch>
      </xdr:blipFill>
      <xdr:spPr bwMode="auto">
        <a:xfrm>
          <a:off x="6641043" y="119062"/>
          <a:ext cx="3545416" cy="1038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1752600</xdr:colOff>
      <xdr:row>0</xdr:row>
      <xdr:rowOff>0</xdr:rowOff>
    </xdr:from>
    <xdr:to>
      <xdr:col>1</xdr:col>
      <xdr:colOff>3399631</xdr:colOff>
      <xdr:row>2</xdr:row>
      <xdr:rowOff>140176</xdr:rowOff>
    </xdr:to>
    <xdr:pic>
      <xdr:nvPicPr>
        <xdr:cNvPr id="2" name="Image 1" descr="Une image contenant texte&#10;&#10;Description générée automatiquement">
          <a:extLst>
            <a:ext uri="{FF2B5EF4-FFF2-40B4-BE49-F238E27FC236}">
              <a16:creationId xmlns:a16="http://schemas.microsoft.com/office/drawing/2014/main" id="{96735687-99B0-4642-A82D-62786D48483C}"/>
            </a:ext>
          </a:extLst>
        </xdr:cNvPr>
        <xdr:cNvPicPr>
          <a:picLocks noChangeAspect="1"/>
        </xdr:cNvPicPr>
      </xdr:nvPicPr>
      <xdr:blipFill>
        <a:blip xmlns:r="http://schemas.openxmlformats.org/officeDocument/2006/relationships" r:embed="rId1"/>
        <a:stretch>
          <a:fillRect/>
        </a:stretch>
      </xdr:blipFill>
      <xdr:spPr bwMode="auto">
        <a:xfrm>
          <a:off x="6826250" y="0"/>
          <a:ext cx="1647031" cy="4957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595314</xdr:colOff>
      <xdr:row>0</xdr:row>
      <xdr:rowOff>119062</xdr:rowOff>
    </xdr:from>
    <xdr:to>
      <xdr:col>5</xdr:col>
      <xdr:colOff>1931459</xdr:colOff>
      <xdr:row>0</xdr:row>
      <xdr:rowOff>1157795</xdr:rowOff>
    </xdr:to>
    <xdr:pic>
      <xdr:nvPicPr>
        <xdr:cNvPr id="2" name="Image 1" descr="Une image contenant texte&#10;&#10;Description générée automatiquement">
          <a:extLst>
            <a:ext uri="{FF2B5EF4-FFF2-40B4-BE49-F238E27FC236}">
              <a16:creationId xmlns:a16="http://schemas.microsoft.com/office/drawing/2014/main" id="{DB61CD01-D638-4CB5-BBF6-DA438BC72E40}"/>
            </a:ext>
          </a:extLst>
        </xdr:cNvPr>
        <xdr:cNvPicPr>
          <a:picLocks noChangeAspect="1"/>
        </xdr:cNvPicPr>
      </xdr:nvPicPr>
      <xdr:blipFill>
        <a:blip xmlns:r="http://schemas.openxmlformats.org/officeDocument/2006/relationships" r:embed="rId1"/>
        <a:stretch>
          <a:fillRect/>
        </a:stretch>
      </xdr:blipFill>
      <xdr:spPr bwMode="auto">
        <a:xfrm>
          <a:off x="6640514" y="119062"/>
          <a:ext cx="3545945" cy="10387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mma Houplain" id="{FB4CB085-C56B-8E49-8917-277EB4C939F5}" userId="S::houplain1u@etu.univ-lorraine.fr::767d2d93-2ac0-4b90-972e-37b0646c82c5" providerId="AD"/>
  <person displayName="Emma Houplain" id="{55FE4D77-54AF-ED4B-B3FB-488720D6ECCD}" userId="S::emma.houplain@afac-agroforesteries.fr::665f7277-76c3-4c31-9ffa-fa47d633417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22-02-15T07:57:06.55" personId="{FB4CB085-C56B-8E49-8917-277EB4C939F5}" id="{3508477A-2930-0740-B64A-3300AA17439A}">
    <text>Vache d’une même stabulation (nombre entier)</text>
  </threadedComment>
  <threadedComment ref="C6" dT="2022-02-15T07:57:36.20" personId="{FB4CB085-C56B-8E49-8917-277EB4C939F5}" id="{C428B24F-E7FB-B84E-B87F-5F01B3296394}">
    <text>Une même stabulation en mètre carré</text>
  </threadedComment>
  <threadedComment ref="C7" dT="2022-02-15T07:58:02.05" personId="{FB4CB085-C56B-8E49-8917-277EB4C939F5}" id="{76F505ED-CE51-6D4E-9274-7343426163CA}">
    <text>En nombre de jours (nombre de mois x 30)</text>
  </threadedComment>
  <threadedComment ref="C9" dT="2022-02-15T07:58:13.86" personId="{FB4CB085-C56B-8E49-8917-277EB4C939F5}" id="{7840CE6C-E37F-9F4B-A5F4-153FC689ECEF}">
    <text>En tonnes de paille produite</text>
  </threadedComment>
  <threadedComment ref="G10" dT="2022-02-15T07:59:41.42" personId="{FB4CB085-C56B-8E49-8917-277EB4C939F5}" id="{2BD86AF6-8045-9A4E-8039-B90B71D1BC20}">
    <text>Le prix de la paille achetée en euros par tonne</text>
  </threadedComment>
  <threadedComment ref="C11" dT="2022-02-15T07:58:32.51" personId="{FB4CB085-C56B-8E49-8917-277EB4C939F5}" id="{DB434E8B-4C53-944F-83AA-040A5DE06299}">
    <text>En mètre linéaire</text>
  </threadedComment>
  <threadedComment ref="C12" dT="2022-02-15T07:58:41.55" personId="{FB4CB085-C56B-8E49-8917-277EB4C939F5}" id="{7919B8DA-937B-F742-9772-39D76633E7E7}">
    <text>En mètre linéaire</text>
  </threadedComment>
  <threadedComment ref="C13" dT="2022-04-11T12:29:46.49" personId="{55FE4D77-54AF-ED4B-B3FB-488720D6ECCD}" id="{0E501914-6931-A340-A31B-BD7DC07EC0B9}">
    <text>En tonne de bois sec</text>
  </threadedComment>
  <threadedComment ref="C15" dT="2023-01-12T13:20:04.78" personId="{55FE4D77-54AF-ED4B-B3FB-488720D6ECCD}" id="{FAA628D4-1E3D-4F62-B95E-16CF75D181BD}">
    <text>Répondre : oui ou non</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2-02-15T07:57:06.55" personId="{FB4CB085-C56B-8E49-8917-277EB4C939F5}" id="{DE44534F-1B54-4352-AFB7-2E1CE1C0095C}">
    <text>Vache d’une même stabulation (nombre entier)</text>
  </threadedComment>
  <threadedComment ref="C6" dT="2022-02-15T07:57:36.20" personId="{FB4CB085-C56B-8E49-8917-277EB4C939F5}" id="{62D0DFD5-8482-4FBE-980A-3A7F0C0CDAC6}">
    <text>Une même stabulation en mètre carré</text>
  </threadedComment>
  <threadedComment ref="C7" dT="2022-02-15T07:58:02.05" personId="{FB4CB085-C56B-8E49-8917-277EB4C939F5}" id="{1C6A5BCA-EE83-4839-9C0A-A7AECF46D05C}">
    <text>En nombre de jours (nombre de mois x 30)</text>
  </threadedComment>
  <threadedComment ref="C9" dT="2022-02-15T07:58:13.86" personId="{FB4CB085-C56B-8E49-8917-277EB4C939F5}" id="{B911A558-0E6B-4060-98C2-EB96B27EE016}">
    <text>En tonnes de paille produite</text>
  </threadedComment>
  <threadedComment ref="G10" dT="2022-02-15T07:59:41.42" personId="{FB4CB085-C56B-8E49-8917-277EB4C939F5}" id="{CB841F5E-94BF-4319-A7C3-043FBEF612B9}">
    <text>Le prix de la paille achetée en euros par tonne</text>
  </threadedComment>
  <threadedComment ref="C11" dT="2022-02-15T07:58:32.51" personId="{FB4CB085-C56B-8E49-8917-277EB4C939F5}" id="{E080AFA3-E035-45C9-9F5E-AD91BD43A58E}">
    <text>En mètre linéaire</text>
  </threadedComment>
  <threadedComment ref="C12" dT="2022-02-15T07:58:41.55" personId="{FB4CB085-C56B-8E49-8917-277EB4C939F5}" id="{99CAF3E3-0CAE-4529-BDAD-A17FF994367C}">
    <text>En mètre linéaire</text>
  </threadedComment>
  <threadedComment ref="C13" dT="2022-04-11T12:29:46.49" personId="{55FE4D77-54AF-ED4B-B3FB-488720D6ECCD}" id="{2A0F6406-D429-4472-A1DF-BBEBCD1F1D34}">
    <text>En tonne de bois sec</text>
  </threadedComment>
  <threadedComment ref="C15" dT="2023-01-12T13:20:04.78" personId="{55FE4D77-54AF-ED4B-B3FB-488720D6ECCD}" id="{24713B01-8BE5-47BE-A76B-BE6BAEBBF0DB}">
    <text>Répondre : oui ou non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69BA-737F-7942-8990-39D6A357E57C}">
  <dimension ref="A1:O14"/>
  <sheetViews>
    <sheetView workbookViewId="0">
      <selection activeCell="A9" sqref="A9"/>
    </sheetView>
  </sheetViews>
  <sheetFormatPr baseColWidth="10" defaultColWidth="10.6640625" defaultRowHeight="14" x14ac:dyDescent="0.3"/>
  <cols>
    <col min="1" max="1" width="103.33203125" style="2" customWidth="1"/>
    <col min="2" max="2" width="66" style="2" customWidth="1"/>
    <col min="3" max="3" width="60" style="2" customWidth="1"/>
    <col min="4" max="4" width="48.83203125" style="2" customWidth="1"/>
    <col min="5" max="16384" width="10.6640625" style="2"/>
  </cols>
  <sheetData>
    <row r="1" spans="1:15" ht="92" customHeight="1" x14ac:dyDescent="0.3">
      <c r="A1" s="47" t="s">
        <v>88</v>
      </c>
      <c r="B1" s="88"/>
      <c r="C1" s="88"/>
      <c r="D1" s="88"/>
      <c r="E1" s="88"/>
      <c r="F1" s="88"/>
      <c r="G1" s="88"/>
      <c r="H1" s="88"/>
      <c r="I1" s="88"/>
      <c r="J1" s="88"/>
      <c r="K1" s="88"/>
      <c r="L1" s="88"/>
      <c r="M1" s="88"/>
      <c r="N1" s="88"/>
      <c r="O1" s="88"/>
    </row>
    <row r="2" spans="1:15" x14ac:dyDescent="0.3">
      <c r="A2" s="37"/>
    </row>
    <row r="3" spans="1:15" x14ac:dyDescent="0.3">
      <c r="A3" s="83" t="s">
        <v>90</v>
      </c>
      <c r="B3" s="1"/>
    </row>
    <row r="4" spans="1:15" x14ac:dyDescent="0.3">
      <c r="A4" s="84" t="s">
        <v>10</v>
      </c>
    </row>
    <row r="5" spans="1:15" x14ac:dyDescent="0.3">
      <c r="A5" s="84" t="s">
        <v>11</v>
      </c>
    </row>
    <row r="6" spans="1:15" x14ac:dyDescent="0.3">
      <c r="A6" s="84" t="s">
        <v>14</v>
      </c>
    </row>
    <row r="7" spans="1:15" x14ac:dyDescent="0.3">
      <c r="A7" s="84" t="s">
        <v>12</v>
      </c>
    </row>
    <row r="8" spans="1:15" ht="19" customHeight="1" x14ac:dyDescent="0.3">
      <c r="A8" s="85" t="s">
        <v>13</v>
      </c>
    </row>
    <row r="10" spans="1:15" ht="57.5" customHeight="1" x14ac:dyDescent="0.3">
      <c r="A10" s="86" t="s">
        <v>65</v>
      </c>
    </row>
    <row r="12" spans="1:15" ht="36" customHeight="1" x14ac:dyDescent="0.3">
      <c r="A12" s="87" t="s">
        <v>26</v>
      </c>
    </row>
    <row r="13" spans="1:15" x14ac:dyDescent="0.3">
      <c r="A13" s="52"/>
    </row>
    <row r="14" spans="1:15" ht="55" customHeight="1" x14ac:dyDescent="0.3">
      <c r="A14" s="53" t="s">
        <v>66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64AE8-9587-C143-85F5-56FAD5201885}">
  <dimension ref="A1:O34"/>
  <sheetViews>
    <sheetView zoomScale="96" zoomScaleNormal="96" workbookViewId="0">
      <selection activeCell="A2" sqref="A2"/>
    </sheetView>
  </sheetViews>
  <sheetFormatPr baseColWidth="10" defaultColWidth="10.6640625" defaultRowHeight="14" x14ac:dyDescent="0.3"/>
  <cols>
    <col min="1" max="1" width="28.6640625" style="2" customWidth="1"/>
    <col min="2" max="2" width="23.83203125" style="2" customWidth="1"/>
    <col min="3" max="3" width="26.83203125" style="2" customWidth="1"/>
    <col min="4" max="4" width="10.6640625" style="2"/>
    <col min="5" max="5" width="18.33203125" style="2" customWidth="1"/>
    <col min="6" max="6" width="26.83203125" style="2" customWidth="1"/>
    <col min="7" max="7" width="27" style="2" customWidth="1"/>
    <col min="8" max="8" width="10.6640625" style="2"/>
    <col min="9" max="9" width="15.5" style="2" customWidth="1"/>
    <col min="10" max="10" width="48.1640625" style="2" customWidth="1"/>
    <col min="11" max="11" width="26.33203125" style="2" customWidth="1"/>
    <col min="12" max="12" width="10.6640625" style="2"/>
    <col min="13" max="13" width="23.1640625" style="2" customWidth="1"/>
    <col min="14" max="14" width="47.83203125" style="2" customWidth="1"/>
    <col min="15" max="15" width="16.83203125" style="2" customWidth="1"/>
    <col min="16" max="16384" width="10.6640625" style="2"/>
  </cols>
  <sheetData>
    <row r="1" spans="1:15" ht="92" customHeight="1" x14ac:dyDescent="0.3">
      <c r="A1" s="56" t="s">
        <v>91</v>
      </c>
      <c r="B1" s="57"/>
      <c r="C1" s="57"/>
      <c r="D1" s="57"/>
      <c r="E1" s="57"/>
      <c r="F1" s="57"/>
      <c r="G1" s="57"/>
      <c r="H1" s="57"/>
      <c r="I1" s="57"/>
      <c r="J1" s="57"/>
      <c r="K1" s="57"/>
      <c r="L1" s="57"/>
      <c r="M1" s="57"/>
      <c r="N1" s="57"/>
      <c r="O1" s="57"/>
    </row>
    <row r="2" spans="1:15" ht="11" customHeight="1" x14ac:dyDescent="0.3">
      <c r="A2" s="37"/>
      <c r="B2" s="37"/>
      <c r="C2" s="37"/>
    </row>
    <row r="3" spans="1:15" ht="23" x14ac:dyDescent="0.5">
      <c r="A3" s="54" t="s">
        <v>89</v>
      </c>
      <c r="B3" s="54"/>
      <c r="C3" s="54"/>
      <c r="E3" s="55" t="s">
        <v>5</v>
      </c>
      <c r="F3" s="55"/>
      <c r="G3" s="55"/>
      <c r="H3" s="40"/>
      <c r="I3" s="54" t="s">
        <v>53</v>
      </c>
      <c r="J3" s="54"/>
      <c r="K3" s="54"/>
      <c r="L3" s="41"/>
      <c r="M3" s="55" t="s">
        <v>16</v>
      </c>
      <c r="N3" s="55"/>
      <c r="O3" s="55"/>
    </row>
    <row r="4" spans="1:15" ht="14.5" thickBot="1" x14ac:dyDescent="0.35">
      <c r="A4" s="58" t="s">
        <v>2</v>
      </c>
      <c r="B4" s="58"/>
      <c r="C4" s="58"/>
      <c r="E4" s="59" t="s">
        <v>18</v>
      </c>
      <c r="F4" s="59"/>
      <c r="G4" s="59"/>
      <c r="I4" s="59" t="s">
        <v>18</v>
      </c>
      <c r="J4" s="59"/>
      <c r="K4" s="60"/>
      <c r="M4" s="59" t="s">
        <v>18</v>
      </c>
      <c r="N4" s="59"/>
      <c r="O4" s="59"/>
    </row>
    <row r="5" spans="1:15" ht="14.5" thickBot="1" x14ac:dyDescent="0.35">
      <c r="A5" s="61" t="s">
        <v>0</v>
      </c>
      <c r="B5" s="61"/>
      <c r="C5" s="48">
        <v>168</v>
      </c>
      <c r="E5" s="62" t="s">
        <v>45</v>
      </c>
      <c r="F5" s="62"/>
      <c r="G5" s="5">
        <f>9*C5*C7*0.001</f>
        <v>272.16000000000003</v>
      </c>
      <c r="I5" s="63" t="s">
        <v>54</v>
      </c>
      <c r="J5" s="64"/>
      <c r="K5" s="43">
        <v>10</v>
      </c>
      <c r="L5" s="6"/>
      <c r="M5" s="62" t="s">
        <v>4</v>
      </c>
      <c r="N5" s="62"/>
      <c r="O5" s="5">
        <f>C6*0.1*((C7/30)*2)</f>
        <v>1411.2</v>
      </c>
    </row>
    <row r="6" spans="1:15" x14ac:dyDescent="0.3">
      <c r="A6" s="61" t="s">
        <v>33</v>
      </c>
      <c r="B6" s="61"/>
      <c r="C6" s="48">
        <v>1176</v>
      </c>
      <c r="E6" s="7"/>
      <c r="F6" s="7"/>
      <c r="I6" s="62" t="s">
        <v>4</v>
      </c>
      <c r="J6" s="62"/>
      <c r="K6" s="8">
        <f>C6*K5*0.01</f>
        <v>117.60000000000001</v>
      </c>
      <c r="M6" s="62" t="s">
        <v>48</v>
      </c>
      <c r="N6" s="62"/>
      <c r="O6" s="5">
        <f>O5/3.85</f>
        <v>366.54545454545456</v>
      </c>
    </row>
    <row r="7" spans="1:15" x14ac:dyDescent="0.3">
      <c r="A7" s="61" t="s">
        <v>34</v>
      </c>
      <c r="B7" s="61"/>
      <c r="C7" s="48">
        <v>180</v>
      </c>
      <c r="D7" s="6"/>
      <c r="E7" s="59" t="s">
        <v>19</v>
      </c>
      <c r="F7" s="59"/>
      <c r="G7" s="59"/>
      <c r="I7" s="62" t="s">
        <v>48</v>
      </c>
      <c r="J7" s="62"/>
      <c r="K7" s="5">
        <f>K6/3.85</f>
        <v>30.545454545454547</v>
      </c>
      <c r="M7" s="65"/>
      <c r="N7" s="65"/>
      <c r="O7" s="9"/>
    </row>
    <row r="8" spans="1:15" x14ac:dyDescent="0.3">
      <c r="A8" s="66" t="s">
        <v>3</v>
      </c>
      <c r="B8" s="66"/>
      <c r="C8" s="66"/>
      <c r="E8" s="62" t="s">
        <v>25</v>
      </c>
      <c r="F8" s="62"/>
      <c r="G8" s="10" t="str">
        <f>IF(G5&gt;C9,"Achat de paille extérieure","Ma production de paille suffit")</f>
        <v>Achat de paille extérieure</v>
      </c>
      <c r="I8" s="63" t="s">
        <v>68</v>
      </c>
      <c r="J8" s="67"/>
      <c r="K8" s="5">
        <f>9*C5*(C7-55)*0.001</f>
        <v>189</v>
      </c>
      <c r="M8" s="4"/>
      <c r="N8" s="4"/>
    </row>
    <row r="9" spans="1:15" ht="14.5" thickBot="1" x14ac:dyDescent="0.35">
      <c r="A9" s="68" t="s">
        <v>1</v>
      </c>
      <c r="B9" s="68"/>
      <c r="C9" s="49">
        <v>137</v>
      </c>
      <c r="E9" s="62" t="s">
        <v>8</v>
      </c>
      <c r="F9" s="62"/>
      <c r="G9" s="11">
        <f>IF(G5&gt;C9,G5-C9,0)</f>
        <v>135.16000000000003</v>
      </c>
      <c r="I9" s="4"/>
      <c r="J9" s="12"/>
      <c r="K9" s="13"/>
      <c r="M9" s="59" t="s">
        <v>20</v>
      </c>
      <c r="N9" s="59"/>
      <c r="O9" s="59"/>
    </row>
    <row r="10" spans="1:15" x14ac:dyDescent="0.3">
      <c r="A10" s="69" t="s">
        <v>9</v>
      </c>
      <c r="B10" s="69"/>
      <c r="C10" s="69"/>
      <c r="E10" s="70" t="s">
        <v>38</v>
      </c>
      <c r="F10" s="71"/>
      <c r="G10" s="38">
        <v>90</v>
      </c>
      <c r="I10" s="59" t="s">
        <v>19</v>
      </c>
      <c r="J10" s="59"/>
      <c r="K10" s="59"/>
      <c r="M10" s="72" t="s">
        <v>6</v>
      </c>
      <c r="N10" s="72"/>
      <c r="O10" s="14" t="str">
        <f>IF(C14&gt;=O5,"Oui","Non")</f>
        <v>Non</v>
      </c>
    </row>
    <row r="11" spans="1:15" ht="14.5" thickBot="1" x14ac:dyDescent="0.35">
      <c r="A11" s="73" t="s">
        <v>23</v>
      </c>
      <c r="B11" s="73"/>
      <c r="C11" s="50">
        <v>14000</v>
      </c>
      <c r="E11" s="15"/>
      <c r="F11" s="15"/>
      <c r="G11" s="15"/>
      <c r="I11" s="62" t="s">
        <v>25</v>
      </c>
      <c r="J11" s="62"/>
      <c r="K11" s="10" t="str">
        <f>IF(K8&gt;C9,"Achat de paille extérieure","Ma production de paille suffit")</f>
        <v>Achat de paille extérieure</v>
      </c>
      <c r="M11" s="62" t="s">
        <v>7</v>
      </c>
      <c r="N11" s="62"/>
      <c r="O11" s="11">
        <f>IF(O6&gt;C13,O6-C13,0)</f>
        <v>321.04545454545456</v>
      </c>
    </row>
    <row r="12" spans="1:15" ht="14.5" thickBot="1" x14ac:dyDescent="0.35">
      <c r="A12" s="73" t="s">
        <v>69</v>
      </c>
      <c r="B12" s="73"/>
      <c r="C12" s="50">
        <f>(1/20)*C11</f>
        <v>700</v>
      </c>
      <c r="E12" s="59" t="s">
        <v>21</v>
      </c>
      <c r="F12" s="59"/>
      <c r="G12" s="59"/>
      <c r="H12" s="6"/>
      <c r="I12" s="62" t="s">
        <v>8</v>
      </c>
      <c r="J12" s="62"/>
      <c r="K12" s="11">
        <f>IF(K8&gt;C9,K8-C9,0)</f>
        <v>52</v>
      </c>
      <c r="L12" s="6"/>
      <c r="M12" s="62" t="s">
        <v>70</v>
      </c>
      <c r="N12" s="63"/>
      <c r="O12" s="39">
        <v>60</v>
      </c>
    </row>
    <row r="13" spans="1:15" ht="14.5" thickBot="1" x14ac:dyDescent="0.35">
      <c r="A13" s="73" t="s">
        <v>71</v>
      </c>
      <c r="B13" s="73"/>
      <c r="C13" s="50">
        <f>((C12*10)/100)*0.65</f>
        <v>45.5</v>
      </c>
      <c r="D13" s="6"/>
      <c r="E13" s="62" t="s">
        <v>46</v>
      </c>
      <c r="F13" s="62"/>
      <c r="G13" s="16">
        <f>(IF(C9&gt;G5,G5,C9))*45</f>
        <v>6165</v>
      </c>
      <c r="H13" s="6"/>
      <c r="I13" s="70" t="s">
        <v>39</v>
      </c>
      <c r="J13" s="71"/>
      <c r="K13" s="42">
        <v>90</v>
      </c>
    </row>
    <row r="14" spans="1:15" x14ac:dyDescent="0.3">
      <c r="A14" s="73" t="s">
        <v>44</v>
      </c>
      <c r="B14" s="73"/>
      <c r="C14" s="50">
        <f>C13*3.85</f>
        <v>175.17500000000001</v>
      </c>
      <c r="E14" s="62" t="s">
        <v>40</v>
      </c>
      <c r="F14" s="62"/>
      <c r="G14" s="16">
        <f>G9*G10</f>
        <v>12164.400000000001</v>
      </c>
      <c r="I14" s="15"/>
      <c r="J14" s="15"/>
      <c r="K14" s="17"/>
      <c r="L14" s="6"/>
      <c r="M14" s="59" t="s">
        <v>21</v>
      </c>
      <c r="N14" s="59"/>
      <c r="O14" s="59"/>
    </row>
    <row r="15" spans="1:15" x14ac:dyDescent="0.3">
      <c r="A15" s="73" t="s">
        <v>58</v>
      </c>
      <c r="B15" s="73"/>
      <c r="C15" s="50" t="s">
        <v>24</v>
      </c>
      <c r="E15" s="74" t="s">
        <v>17</v>
      </c>
      <c r="F15" s="74"/>
      <c r="G15" s="18">
        <f>SUM(G13:G14)</f>
        <v>18329.400000000001</v>
      </c>
      <c r="I15" s="59" t="s">
        <v>20</v>
      </c>
      <c r="J15" s="59"/>
      <c r="K15" s="59"/>
      <c r="L15" s="6"/>
      <c r="M15" s="62" t="s">
        <v>58</v>
      </c>
      <c r="N15" s="62"/>
      <c r="O15" s="16">
        <f>IF((AND(C15="Oui",O6&lt;=C13)),O6*60.32,((C16*6.5)/100)*60.32)</f>
        <v>2744.56</v>
      </c>
    </row>
    <row r="16" spans="1:15" x14ac:dyDescent="0.3">
      <c r="A16" s="73" t="s">
        <v>60</v>
      </c>
      <c r="B16" s="73"/>
      <c r="C16" s="50">
        <f>IF(C15="Oui",C12,0)</f>
        <v>700</v>
      </c>
      <c r="I16" s="72" t="s">
        <v>6</v>
      </c>
      <c r="J16" s="72"/>
      <c r="K16" s="19" t="str">
        <f>IF(C14&gt;=K6,"Oui","Non")</f>
        <v>Oui</v>
      </c>
      <c r="M16" s="62" t="s">
        <v>59</v>
      </c>
      <c r="N16" s="62"/>
      <c r="O16" s="16">
        <f>IF((AND(C17="Oui",O6&lt;=C13)),O6*73.04,((C18*6.5)/100)*73.04)</f>
        <v>0</v>
      </c>
    </row>
    <row r="17" spans="1:15" ht="15" thickBot="1" x14ac:dyDescent="0.4">
      <c r="A17" s="73" t="s">
        <v>59</v>
      </c>
      <c r="B17" s="73"/>
      <c r="C17" s="50" t="str">
        <f>IF(C15="Oui","Non","Oui")</f>
        <v>Non</v>
      </c>
      <c r="E17" s="20"/>
      <c r="I17" s="62" t="s">
        <v>7</v>
      </c>
      <c r="J17" s="62"/>
      <c r="K17" s="21">
        <f>IF(K7&gt;C13,K7-C13,0)</f>
        <v>0</v>
      </c>
      <c r="M17" s="62" t="s">
        <v>22</v>
      </c>
      <c r="N17" s="62"/>
      <c r="O17" s="16">
        <f>O11*O12</f>
        <v>19262.727272727272</v>
      </c>
    </row>
    <row r="18" spans="1:15" ht="15" thickBot="1" x14ac:dyDescent="0.4">
      <c r="A18" s="73" t="s">
        <v>61</v>
      </c>
      <c r="B18" s="73"/>
      <c r="C18" s="51">
        <f>IF(C17="Oui",C12,0)</f>
        <v>0</v>
      </c>
      <c r="E18" s="20"/>
      <c r="I18" s="63" t="s">
        <v>70</v>
      </c>
      <c r="J18" s="64"/>
      <c r="K18" s="42">
        <v>60</v>
      </c>
      <c r="M18" s="74" t="s">
        <v>15</v>
      </c>
      <c r="N18" s="74"/>
      <c r="O18" s="18">
        <f>SUM(O15:O17)</f>
        <v>22007.287272727273</v>
      </c>
    </row>
    <row r="19" spans="1:15" ht="14.5" x14ac:dyDescent="0.35">
      <c r="A19" s="22"/>
      <c r="B19" s="22"/>
      <c r="C19" s="22"/>
      <c r="K19" s="17"/>
      <c r="M19" s="65"/>
      <c r="N19" s="65"/>
      <c r="O19" s="23"/>
    </row>
    <row r="20" spans="1:15" ht="14.5" x14ac:dyDescent="0.35">
      <c r="A20" s="76" t="s">
        <v>72</v>
      </c>
      <c r="B20" s="76"/>
      <c r="C20" s="76"/>
      <c r="E20" s="2" t="s">
        <v>52</v>
      </c>
      <c r="I20" s="59" t="s">
        <v>21</v>
      </c>
      <c r="J20" s="59"/>
      <c r="K20" s="59"/>
      <c r="M20" s="75" t="s">
        <v>36</v>
      </c>
      <c r="N20" s="75"/>
      <c r="O20" s="44">
        <f>G15-O18</f>
        <v>-3677.8872727272719</v>
      </c>
    </row>
    <row r="21" spans="1:15" ht="14.5" x14ac:dyDescent="0.35">
      <c r="A21" s="20" t="s">
        <v>41</v>
      </c>
      <c r="B21" s="20"/>
      <c r="C21" s="20"/>
      <c r="I21" s="62" t="s">
        <v>46</v>
      </c>
      <c r="J21" s="62"/>
      <c r="K21" s="16">
        <f>(IF(C9&gt;K8,K8,C9))*45</f>
        <v>6165</v>
      </c>
      <c r="M21" s="24"/>
      <c r="N21" s="24"/>
      <c r="O21" s="25"/>
    </row>
    <row r="22" spans="1:15" ht="14.5" x14ac:dyDescent="0.35">
      <c r="A22" s="20" t="s">
        <v>55</v>
      </c>
      <c r="B22" s="20"/>
      <c r="C22" s="20"/>
      <c r="I22" s="62" t="s">
        <v>40</v>
      </c>
      <c r="J22" s="62"/>
      <c r="K22" s="16">
        <f>K12*K13</f>
        <v>4680</v>
      </c>
      <c r="M22" s="75" t="s">
        <v>37</v>
      </c>
      <c r="N22" s="75"/>
      <c r="O22" s="45">
        <f>K26-O18</f>
        <v>-9319.7854545454557</v>
      </c>
    </row>
    <row r="23" spans="1:15" ht="14.5" x14ac:dyDescent="0.35">
      <c r="A23" s="20" t="s">
        <v>57</v>
      </c>
      <c r="I23" s="77" t="s">
        <v>58</v>
      </c>
      <c r="J23" s="78"/>
      <c r="K23" s="16">
        <f>IF((AND(C15="Oui",K7&lt;=C13)),K7*60.32,((C16*6.5)/100)*60.32)</f>
        <v>1842.5018181818182</v>
      </c>
    </row>
    <row r="24" spans="1:15" ht="14.5" x14ac:dyDescent="0.35">
      <c r="A24" s="20" t="s">
        <v>56</v>
      </c>
      <c r="I24" s="77" t="s">
        <v>59</v>
      </c>
      <c r="J24" s="77"/>
      <c r="K24" s="16">
        <f>IF((AND(C17="Oui",K7&lt;=C13)),K7*73.04,((C18*6.5)/100)*73.04)</f>
        <v>0</v>
      </c>
    </row>
    <row r="25" spans="1:15" ht="14.5" x14ac:dyDescent="0.35">
      <c r="A25" s="26"/>
      <c r="B25" s="20"/>
      <c r="C25" s="20"/>
      <c r="I25" s="63" t="s">
        <v>22</v>
      </c>
      <c r="J25" s="67"/>
      <c r="K25" s="16">
        <f>K17*K18</f>
        <v>0</v>
      </c>
    </row>
    <row r="26" spans="1:15" ht="14.5" x14ac:dyDescent="0.35">
      <c r="A26" s="27" t="s">
        <v>73</v>
      </c>
      <c r="B26" s="20"/>
      <c r="C26" s="20"/>
      <c r="I26" s="74" t="s">
        <v>27</v>
      </c>
      <c r="J26" s="74"/>
      <c r="K26" s="18">
        <f>SUM(K21:K25)</f>
        <v>12687.501818181818</v>
      </c>
    </row>
    <row r="27" spans="1:15" ht="14.5" x14ac:dyDescent="0.35">
      <c r="A27" s="20" t="s">
        <v>42</v>
      </c>
      <c r="B27" s="20"/>
      <c r="C27" s="20"/>
      <c r="K27" s="28"/>
    </row>
    <row r="28" spans="1:15" ht="14.5" x14ac:dyDescent="0.35">
      <c r="A28" s="20" t="s">
        <v>67</v>
      </c>
      <c r="I28" s="79" t="s">
        <v>35</v>
      </c>
      <c r="J28" s="79"/>
      <c r="K28" s="46">
        <f>G15-K26</f>
        <v>5641.8981818181837</v>
      </c>
    </row>
    <row r="29" spans="1:15" ht="14.5" x14ac:dyDescent="0.35">
      <c r="A29" s="20"/>
      <c r="I29" s="75"/>
      <c r="J29" s="75"/>
      <c r="K29" s="29"/>
    </row>
    <row r="30" spans="1:15" ht="14.5" x14ac:dyDescent="0.35">
      <c r="I30" s="30"/>
    </row>
    <row r="31" spans="1:15" ht="14.5" x14ac:dyDescent="0.35">
      <c r="A31" s="20"/>
      <c r="I31" s="20" t="s">
        <v>74</v>
      </c>
    </row>
    <row r="32" spans="1:15" ht="14.5" x14ac:dyDescent="0.35">
      <c r="A32" s="20"/>
      <c r="I32" s="20" t="s">
        <v>32</v>
      </c>
    </row>
    <row r="34" spans="9:9" ht="14.5" x14ac:dyDescent="0.35">
      <c r="I34" s="20" t="s">
        <v>75</v>
      </c>
    </row>
  </sheetData>
  <mergeCells count="69">
    <mergeCell ref="I29:J29"/>
    <mergeCell ref="M19:N19"/>
    <mergeCell ref="A20:C20"/>
    <mergeCell ref="I20:K20"/>
    <mergeCell ref="M20:N20"/>
    <mergeCell ref="I21:J21"/>
    <mergeCell ref="I22:J22"/>
    <mergeCell ref="M22:N22"/>
    <mergeCell ref="I23:J23"/>
    <mergeCell ref="I24:J24"/>
    <mergeCell ref="I25:J25"/>
    <mergeCell ref="I26:J26"/>
    <mergeCell ref="I28:J28"/>
    <mergeCell ref="A17:B17"/>
    <mergeCell ref="I17:J17"/>
    <mergeCell ref="M17:N17"/>
    <mergeCell ref="A18:B18"/>
    <mergeCell ref="I18:J18"/>
    <mergeCell ref="M18:N18"/>
    <mergeCell ref="A15:B15"/>
    <mergeCell ref="E15:F15"/>
    <mergeCell ref="I15:K15"/>
    <mergeCell ref="M15:N15"/>
    <mergeCell ref="A16:B16"/>
    <mergeCell ref="I16:J16"/>
    <mergeCell ref="M16:N16"/>
    <mergeCell ref="M14:O14"/>
    <mergeCell ref="A11:B11"/>
    <mergeCell ref="I11:J11"/>
    <mergeCell ref="M11:N11"/>
    <mergeCell ref="A12:B12"/>
    <mergeCell ref="E12:G12"/>
    <mergeCell ref="I12:J12"/>
    <mergeCell ref="M12:N12"/>
    <mergeCell ref="A13:B13"/>
    <mergeCell ref="E13:F13"/>
    <mergeCell ref="I13:J13"/>
    <mergeCell ref="A14:B14"/>
    <mergeCell ref="E14:F14"/>
    <mergeCell ref="M9:O9"/>
    <mergeCell ref="A10:C10"/>
    <mergeCell ref="E10:F10"/>
    <mergeCell ref="I10:K10"/>
    <mergeCell ref="M10:N10"/>
    <mergeCell ref="A8:C8"/>
    <mergeCell ref="E8:F8"/>
    <mergeCell ref="I8:J8"/>
    <mergeCell ref="A9:B9"/>
    <mergeCell ref="E9:F9"/>
    <mergeCell ref="A6:B6"/>
    <mergeCell ref="I6:J6"/>
    <mergeCell ref="M6:N6"/>
    <mergeCell ref="A7:B7"/>
    <mergeCell ref="E7:G7"/>
    <mergeCell ref="I7:J7"/>
    <mergeCell ref="M7:N7"/>
    <mergeCell ref="A4:C4"/>
    <mergeCell ref="E4:G4"/>
    <mergeCell ref="I4:K4"/>
    <mergeCell ref="M4:O4"/>
    <mergeCell ref="A5:B5"/>
    <mergeCell ref="E5:F5"/>
    <mergeCell ref="I5:J5"/>
    <mergeCell ref="M5:N5"/>
    <mergeCell ref="A3:C3"/>
    <mergeCell ref="E3:G3"/>
    <mergeCell ref="I3:K3"/>
    <mergeCell ref="M3:O3"/>
    <mergeCell ref="A1:O1"/>
  </mergeCells>
  <conditionalFormatting sqref="K28 O20 O22">
    <cfRule type="cellIs" dxfId="3" priority="1" operator="greaterThan">
      <formula>0</formula>
    </cfRule>
    <cfRule type="cellIs" dxfId="2" priority="2" operator="lessThan">
      <formula>0</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02CA-D42E-364D-8456-23427443B72F}">
  <dimension ref="A1:B36"/>
  <sheetViews>
    <sheetView workbookViewId="0">
      <selection activeCell="A7" sqref="A7:B7"/>
    </sheetView>
  </sheetViews>
  <sheetFormatPr baseColWidth="10" defaultColWidth="10.6640625" defaultRowHeight="14" x14ac:dyDescent="0.3"/>
  <cols>
    <col min="1" max="1" width="66.5" style="2" customWidth="1"/>
    <col min="2" max="2" width="67.5" style="2" customWidth="1"/>
    <col min="3" max="16384" width="10.6640625" style="2"/>
  </cols>
  <sheetData>
    <row r="1" spans="1:2" x14ac:dyDescent="0.3">
      <c r="A1" s="82" t="s">
        <v>87</v>
      </c>
      <c r="B1" s="82"/>
    </row>
    <row r="2" spans="1:2" x14ac:dyDescent="0.3">
      <c r="A2" s="80" t="s">
        <v>43</v>
      </c>
      <c r="B2" s="81"/>
    </row>
    <row r="3" spans="1:2" ht="61" customHeight="1" x14ac:dyDescent="0.3">
      <c r="A3" s="96" t="s">
        <v>64</v>
      </c>
      <c r="B3" s="97"/>
    </row>
    <row r="4" spans="1:2" x14ac:dyDescent="0.3">
      <c r="A4" s="98"/>
      <c r="B4" s="99"/>
    </row>
    <row r="5" spans="1:2" x14ac:dyDescent="0.3">
      <c r="A5" s="100" t="s">
        <v>76</v>
      </c>
      <c r="B5" s="101"/>
    </row>
    <row r="6" spans="1:2" x14ac:dyDescent="0.3">
      <c r="A6" s="100"/>
      <c r="B6" s="101"/>
    </row>
    <row r="7" spans="1:2" x14ac:dyDescent="0.3">
      <c r="A7" s="100" t="s">
        <v>77</v>
      </c>
      <c r="B7" s="101"/>
    </row>
    <row r="8" spans="1:2" x14ac:dyDescent="0.3">
      <c r="A8" s="100"/>
      <c r="B8" s="101"/>
    </row>
    <row r="9" spans="1:2" x14ac:dyDescent="0.3">
      <c r="A9" s="100" t="s">
        <v>78</v>
      </c>
      <c r="B9" s="101"/>
    </row>
    <row r="10" spans="1:2" x14ac:dyDescent="0.3">
      <c r="A10" s="98"/>
      <c r="B10" s="99"/>
    </row>
    <row r="11" spans="1:2" x14ac:dyDescent="0.3">
      <c r="A11" s="31" t="s">
        <v>28</v>
      </c>
      <c r="B11" s="32"/>
    </row>
    <row r="12" spans="1:2" ht="38.5" customHeight="1" x14ac:dyDescent="0.3">
      <c r="A12" s="89" t="s">
        <v>79</v>
      </c>
      <c r="B12" s="90"/>
    </row>
    <row r="13" spans="1:2" x14ac:dyDescent="0.3">
      <c r="A13" s="89" t="s">
        <v>80</v>
      </c>
      <c r="B13" s="90"/>
    </row>
    <row r="14" spans="1:2" x14ac:dyDescent="0.3">
      <c r="A14" s="91"/>
      <c r="B14" s="92"/>
    </row>
    <row r="15" spans="1:2" x14ac:dyDescent="0.3">
      <c r="A15" s="81" t="s">
        <v>31</v>
      </c>
      <c r="B15" s="81"/>
    </row>
    <row r="16" spans="1:2" x14ac:dyDescent="0.3">
      <c r="A16" s="33" t="s">
        <v>29</v>
      </c>
      <c r="B16" s="93" t="s">
        <v>30</v>
      </c>
    </row>
    <row r="17" spans="1:2" ht="42" x14ac:dyDescent="0.3">
      <c r="A17" s="3" t="s">
        <v>81</v>
      </c>
      <c r="B17" s="94" t="s">
        <v>82</v>
      </c>
    </row>
    <row r="18" spans="1:2" x14ac:dyDescent="0.3">
      <c r="A18" s="34" t="s">
        <v>83</v>
      </c>
      <c r="B18" s="95" t="s">
        <v>84</v>
      </c>
    </row>
    <row r="19" spans="1:2" x14ac:dyDescent="0.3">
      <c r="A19" s="34" t="s">
        <v>85</v>
      </c>
      <c r="B19" s="95"/>
    </row>
    <row r="20" spans="1:2" x14ac:dyDescent="0.3">
      <c r="A20" s="35" t="s">
        <v>47</v>
      </c>
      <c r="B20" s="95"/>
    </row>
    <row r="21" spans="1:2" ht="28" x14ac:dyDescent="0.3">
      <c r="A21" s="3" t="s">
        <v>62</v>
      </c>
      <c r="B21" s="95"/>
    </row>
    <row r="22" spans="1:2" ht="28" x14ac:dyDescent="0.3">
      <c r="A22" s="3" t="s">
        <v>63</v>
      </c>
      <c r="B22" s="95"/>
    </row>
    <row r="23" spans="1:2" ht="28" x14ac:dyDescent="0.3">
      <c r="A23" s="36" t="s">
        <v>86</v>
      </c>
      <c r="B23" s="95"/>
    </row>
    <row r="24" spans="1:2" x14ac:dyDescent="0.3">
      <c r="A24" s="35" t="s">
        <v>49</v>
      </c>
      <c r="B24" s="95"/>
    </row>
    <row r="25" spans="1:2" x14ac:dyDescent="0.3">
      <c r="A25" s="34" t="s">
        <v>50</v>
      </c>
      <c r="B25" s="95"/>
    </row>
    <row r="26" spans="1:2" ht="84" x14ac:dyDescent="0.3">
      <c r="A26" s="3" t="s">
        <v>51</v>
      </c>
      <c r="B26" s="95"/>
    </row>
    <row r="34" spans="2:2" x14ac:dyDescent="0.3">
      <c r="B34" s="4"/>
    </row>
    <row r="35" spans="2:2" x14ac:dyDescent="0.3">
      <c r="B35" s="4"/>
    </row>
    <row r="36" spans="2:2" x14ac:dyDescent="0.3">
      <c r="B36" s="4"/>
    </row>
  </sheetData>
  <mergeCells count="12">
    <mergeCell ref="A9:B9"/>
    <mergeCell ref="A14:B14"/>
    <mergeCell ref="A5:B5"/>
    <mergeCell ref="A15:B15"/>
    <mergeCell ref="A7:B7"/>
    <mergeCell ref="A12:B12"/>
    <mergeCell ref="A13:B13"/>
    <mergeCell ref="A2:B2"/>
    <mergeCell ref="A3:B3"/>
    <mergeCell ref="A6:B6"/>
    <mergeCell ref="A8:B8"/>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7561D-B28A-4C6E-9BB0-6A9BE87587B0}">
  <dimension ref="A1:O34"/>
  <sheetViews>
    <sheetView tabSelected="1" zoomScale="90" zoomScaleNormal="90" workbookViewId="0">
      <selection activeCell="E41" sqref="E41"/>
    </sheetView>
  </sheetViews>
  <sheetFormatPr baseColWidth="10" defaultColWidth="10.6640625" defaultRowHeight="14" x14ac:dyDescent="0.3"/>
  <cols>
    <col min="1" max="1" width="28.6640625" style="2" customWidth="1"/>
    <col min="2" max="2" width="23.83203125" style="2" customWidth="1"/>
    <col min="3" max="3" width="26.83203125" style="2" customWidth="1"/>
    <col min="4" max="4" width="10.6640625" style="2"/>
    <col min="5" max="5" width="18.33203125" style="2" customWidth="1"/>
    <col min="6" max="6" width="26.83203125" style="2" customWidth="1"/>
    <col min="7" max="7" width="27" style="2" customWidth="1"/>
    <col min="8" max="8" width="10.6640625" style="2"/>
    <col min="9" max="9" width="15.5" style="2" customWidth="1"/>
    <col min="10" max="10" width="51.75" style="2" customWidth="1"/>
    <col min="11" max="11" width="26.33203125" style="2" customWidth="1"/>
    <col min="12" max="12" width="10.6640625" style="2"/>
    <col min="13" max="13" width="23.1640625" style="2" customWidth="1"/>
    <col min="14" max="14" width="47.83203125" style="2" customWidth="1"/>
    <col min="15" max="15" width="16.83203125" style="2" customWidth="1"/>
    <col min="16" max="16384" width="10.6640625" style="2"/>
  </cols>
  <sheetData>
    <row r="1" spans="1:15" ht="92" customHeight="1" x14ac:dyDescent="0.3">
      <c r="A1" s="56" t="s">
        <v>88</v>
      </c>
      <c r="B1" s="57"/>
      <c r="C1" s="57"/>
      <c r="D1" s="57"/>
      <c r="E1" s="57"/>
      <c r="F1" s="57"/>
      <c r="G1" s="57"/>
      <c r="H1" s="57"/>
      <c r="I1" s="57"/>
      <c r="J1" s="57"/>
      <c r="K1" s="57"/>
      <c r="L1" s="57"/>
      <c r="M1" s="57"/>
      <c r="N1" s="57"/>
      <c r="O1" s="57"/>
    </row>
    <row r="2" spans="1:15" ht="11" customHeight="1" x14ac:dyDescent="0.3">
      <c r="A2" s="37"/>
      <c r="B2" s="37"/>
      <c r="C2" s="37"/>
    </row>
    <row r="3" spans="1:15" ht="23" x14ac:dyDescent="0.5">
      <c r="A3" s="54" t="s">
        <v>89</v>
      </c>
      <c r="B3" s="54"/>
      <c r="C3" s="54"/>
      <c r="E3" s="55" t="s">
        <v>5</v>
      </c>
      <c r="F3" s="55"/>
      <c r="G3" s="55"/>
      <c r="H3" s="40"/>
      <c r="I3" s="54" t="s">
        <v>53</v>
      </c>
      <c r="J3" s="54"/>
      <c r="K3" s="54"/>
      <c r="L3" s="41"/>
      <c r="M3" s="55" t="s">
        <v>16</v>
      </c>
      <c r="N3" s="55"/>
      <c r="O3" s="55"/>
    </row>
    <row r="4" spans="1:15" ht="14.5" thickBot="1" x14ac:dyDescent="0.35">
      <c r="A4" s="58" t="s">
        <v>2</v>
      </c>
      <c r="B4" s="58"/>
      <c r="C4" s="58"/>
      <c r="E4" s="59" t="s">
        <v>18</v>
      </c>
      <c r="F4" s="59"/>
      <c r="G4" s="59"/>
      <c r="I4" s="59" t="s">
        <v>18</v>
      </c>
      <c r="J4" s="59"/>
      <c r="K4" s="60"/>
      <c r="M4" s="59" t="s">
        <v>18</v>
      </c>
      <c r="N4" s="59"/>
      <c r="O4" s="59"/>
    </row>
    <row r="5" spans="1:15" ht="14.5" thickBot="1" x14ac:dyDescent="0.35">
      <c r="A5" s="61" t="s">
        <v>0</v>
      </c>
      <c r="B5" s="61"/>
      <c r="C5" s="102"/>
      <c r="E5" s="62" t="s">
        <v>45</v>
      </c>
      <c r="F5" s="62"/>
      <c r="G5" s="5">
        <f>9*C5*C7*0.001</f>
        <v>0</v>
      </c>
      <c r="I5" s="63" t="s">
        <v>54</v>
      </c>
      <c r="J5" s="64"/>
      <c r="K5" s="43"/>
      <c r="L5" s="6"/>
      <c r="M5" s="62" t="s">
        <v>4</v>
      </c>
      <c r="N5" s="62"/>
      <c r="O5" s="5">
        <f>C6*0.1*((C7/30)*2)</f>
        <v>0</v>
      </c>
    </row>
    <row r="6" spans="1:15" ht="14.5" thickBot="1" x14ac:dyDescent="0.35">
      <c r="A6" s="61" t="s">
        <v>33</v>
      </c>
      <c r="B6" s="61"/>
      <c r="C6" s="102"/>
      <c r="E6" s="7"/>
      <c r="F6" s="7"/>
      <c r="I6" s="62" t="s">
        <v>4</v>
      </c>
      <c r="J6" s="62"/>
      <c r="K6" s="8">
        <f>C6*K5*0.01</f>
        <v>0</v>
      </c>
      <c r="M6" s="62" t="s">
        <v>48</v>
      </c>
      <c r="N6" s="62"/>
      <c r="O6" s="5">
        <f>O5/3.85</f>
        <v>0</v>
      </c>
    </row>
    <row r="7" spans="1:15" x14ac:dyDescent="0.3">
      <c r="A7" s="61" t="s">
        <v>34</v>
      </c>
      <c r="B7" s="61"/>
      <c r="C7" s="102"/>
      <c r="D7" s="6"/>
      <c r="E7" s="59" t="s">
        <v>19</v>
      </c>
      <c r="F7" s="59"/>
      <c r="G7" s="59"/>
      <c r="I7" s="62" t="s">
        <v>48</v>
      </c>
      <c r="J7" s="62"/>
      <c r="K7" s="5">
        <f>K6/3.85</f>
        <v>0</v>
      </c>
      <c r="M7" s="65"/>
      <c r="N7" s="65"/>
      <c r="O7" s="9"/>
    </row>
    <row r="8" spans="1:15" ht="14.5" thickBot="1" x14ac:dyDescent="0.35">
      <c r="A8" s="66" t="s">
        <v>3</v>
      </c>
      <c r="B8" s="66"/>
      <c r="C8" s="66"/>
      <c r="E8" s="62" t="s">
        <v>25</v>
      </c>
      <c r="F8" s="62"/>
      <c r="G8" s="10" t="str">
        <f>IF(G5&gt;C9,"Achat de paille extérieure","Ma production de paille suffit")</f>
        <v>Ma production de paille suffit</v>
      </c>
      <c r="I8" s="63" t="s">
        <v>68</v>
      </c>
      <c r="J8" s="67"/>
      <c r="K8" s="5">
        <f>9*C5*(C7-55)*0.001</f>
        <v>0</v>
      </c>
      <c r="M8" s="4"/>
      <c r="N8" s="4"/>
    </row>
    <row r="9" spans="1:15" ht="14.5" thickBot="1" x14ac:dyDescent="0.35">
      <c r="A9" s="68" t="s">
        <v>1</v>
      </c>
      <c r="B9" s="68"/>
      <c r="C9" s="102"/>
      <c r="E9" s="62" t="s">
        <v>8</v>
      </c>
      <c r="F9" s="62"/>
      <c r="G9" s="11">
        <f>IF(G5&gt;C9,G5-C9,0)</f>
        <v>0</v>
      </c>
      <c r="I9" s="4"/>
      <c r="J9" s="12"/>
      <c r="K9" s="13"/>
      <c r="M9" s="59" t="s">
        <v>20</v>
      </c>
      <c r="N9" s="59"/>
      <c r="O9" s="59"/>
    </row>
    <row r="10" spans="1:15" ht="14.5" thickBot="1" x14ac:dyDescent="0.35">
      <c r="A10" s="69" t="s">
        <v>9</v>
      </c>
      <c r="B10" s="69"/>
      <c r="C10" s="69"/>
      <c r="E10" s="70" t="s">
        <v>38</v>
      </c>
      <c r="F10" s="71"/>
      <c r="G10" s="38"/>
      <c r="I10" s="59" t="s">
        <v>19</v>
      </c>
      <c r="J10" s="59"/>
      <c r="K10" s="59"/>
      <c r="M10" s="72" t="s">
        <v>6</v>
      </c>
      <c r="N10" s="72"/>
      <c r="O10" s="14" t="str">
        <f>IF(C14&gt;=O5,"Oui","Non")</f>
        <v>Oui</v>
      </c>
    </row>
    <row r="11" spans="1:15" ht="14.5" thickBot="1" x14ac:dyDescent="0.35">
      <c r="A11" s="73" t="s">
        <v>23</v>
      </c>
      <c r="B11" s="73"/>
      <c r="C11" s="102"/>
      <c r="E11" s="15"/>
      <c r="F11" s="15"/>
      <c r="G11" s="15"/>
      <c r="I11" s="62" t="s">
        <v>25</v>
      </c>
      <c r="J11" s="62"/>
      <c r="K11" s="10" t="str">
        <f>IF(K8&gt;C9,"Achat de paille extérieure","Ma production de paille suffit")</f>
        <v>Ma production de paille suffit</v>
      </c>
      <c r="M11" s="62" t="s">
        <v>7</v>
      </c>
      <c r="N11" s="62"/>
      <c r="O11" s="11">
        <f>IF(O6&gt;C13,O6-C13,0)</f>
        <v>0</v>
      </c>
    </row>
    <row r="12" spans="1:15" ht="14.5" thickBot="1" x14ac:dyDescent="0.35">
      <c r="A12" s="73" t="s">
        <v>69</v>
      </c>
      <c r="B12" s="73"/>
      <c r="C12" s="50">
        <f>(1/20)*C11</f>
        <v>0</v>
      </c>
      <c r="E12" s="59" t="s">
        <v>21</v>
      </c>
      <c r="F12" s="59"/>
      <c r="G12" s="59"/>
      <c r="H12" s="6"/>
      <c r="I12" s="62" t="s">
        <v>8</v>
      </c>
      <c r="J12" s="62"/>
      <c r="K12" s="11">
        <f>IF(K8&gt;C9,K8-C9,0)</f>
        <v>0</v>
      </c>
      <c r="L12" s="6"/>
      <c r="M12" s="62" t="s">
        <v>70</v>
      </c>
      <c r="N12" s="63"/>
      <c r="O12" s="39"/>
    </row>
    <row r="13" spans="1:15" ht="14.5" thickBot="1" x14ac:dyDescent="0.35">
      <c r="A13" s="73" t="s">
        <v>71</v>
      </c>
      <c r="B13" s="73"/>
      <c r="C13" s="50">
        <f>((C12*10)/100)*0.65</f>
        <v>0</v>
      </c>
      <c r="D13" s="6"/>
      <c r="E13" s="62" t="s">
        <v>46</v>
      </c>
      <c r="F13" s="62"/>
      <c r="G13" s="16">
        <f>(IF(C9&gt;G5,G5,C9))*45</f>
        <v>0</v>
      </c>
      <c r="H13" s="6"/>
      <c r="I13" s="70" t="s">
        <v>39</v>
      </c>
      <c r="J13" s="71"/>
      <c r="K13" s="42"/>
    </row>
    <row r="14" spans="1:15" ht="14.5" thickBot="1" x14ac:dyDescent="0.35">
      <c r="A14" s="73" t="s">
        <v>44</v>
      </c>
      <c r="B14" s="73"/>
      <c r="C14" s="50">
        <f>C13*3.85</f>
        <v>0</v>
      </c>
      <c r="E14" s="62" t="s">
        <v>40</v>
      </c>
      <c r="F14" s="62"/>
      <c r="G14" s="16">
        <f>G9*G10</f>
        <v>0</v>
      </c>
      <c r="I14" s="15"/>
      <c r="J14" s="15"/>
      <c r="K14" s="17"/>
      <c r="L14" s="6"/>
      <c r="M14" s="59" t="s">
        <v>21</v>
      </c>
      <c r="N14" s="59"/>
      <c r="O14" s="59"/>
    </row>
    <row r="15" spans="1:15" x14ac:dyDescent="0.3">
      <c r="A15" s="73" t="s">
        <v>58</v>
      </c>
      <c r="B15" s="73"/>
      <c r="C15" s="102"/>
      <c r="E15" s="74" t="s">
        <v>17</v>
      </c>
      <c r="F15" s="74"/>
      <c r="G15" s="18">
        <f>SUM(G13:G14)</f>
        <v>0</v>
      </c>
      <c r="I15" s="59" t="s">
        <v>20</v>
      </c>
      <c r="J15" s="59"/>
      <c r="K15" s="59"/>
      <c r="L15" s="6"/>
      <c r="M15" s="62" t="s">
        <v>58</v>
      </c>
      <c r="N15" s="62"/>
      <c r="O15" s="16">
        <f>IF((AND(C15="Oui",O6&lt;=C13)),O6*60.32,((C16*6.5)/100)*60.32)</f>
        <v>0</v>
      </c>
    </row>
    <row r="16" spans="1:15" x14ac:dyDescent="0.3">
      <c r="A16" s="73" t="s">
        <v>60</v>
      </c>
      <c r="B16" s="73"/>
      <c r="C16" s="50">
        <f>IF(C15="Oui",C12,0)</f>
        <v>0</v>
      </c>
      <c r="I16" s="72" t="s">
        <v>6</v>
      </c>
      <c r="J16" s="72"/>
      <c r="K16" s="19" t="str">
        <f>IF(C14&gt;=K6,"Oui","Non")</f>
        <v>Oui</v>
      </c>
      <c r="M16" s="62" t="s">
        <v>59</v>
      </c>
      <c r="N16" s="62"/>
      <c r="O16" s="16">
        <f>IF((AND(C17="Oui",O6&lt;=C13)),O6*73.04,((C18*6.5)/100)*73.04)</f>
        <v>0</v>
      </c>
    </row>
    <row r="17" spans="1:15" ht="15" thickBot="1" x14ac:dyDescent="0.4">
      <c r="A17" s="73" t="s">
        <v>59</v>
      </c>
      <c r="B17" s="73"/>
      <c r="C17" s="50" t="str">
        <f>IF(C15="Oui","Non","Oui")</f>
        <v>Oui</v>
      </c>
      <c r="E17" s="20"/>
      <c r="I17" s="62" t="s">
        <v>7</v>
      </c>
      <c r="J17" s="62"/>
      <c r="K17" s="21">
        <f>IF(K7&gt;C13,K7-C13,0)</f>
        <v>0</v>
      </c>
      <c r="M17" s="62" t="s">
        <v>22</v>
      </c>
      <c r="N17" s="62"/>
      <c r="O17" s="16">
        <f>O11*O12</f>
        <v>0</v>
      </c>
    </row>
    <row r="18" spans="1:15" ht="15" thickBot="1" x14ac:dyDescent="0.4">
      <c r="A18" s="73" t="s">
        <v>61</v>
      </c>
      <c r="B18" s="73"/>
      <c r="C18" s="51">
        <f>IF(C17="Oui",C12,0)</f>
        <v>0</v>
      </c>
      <c r="E18" s="20"/>
      <c r="I18" s="63" t="s">
        <v>70</v>
      </c>
      <c r="J18" s="64"/>
      <c r="K18" s="42"/>
      <c r="M18" s="74" t="s">
        <v>15</v>
      </c>
      <c r="N18" s="74"/>
      <c r="O18" s="18">
        <f>SUM(O15:O17)</f>
        <v>0</v>
      </c>
    </row>
    <row r="19" spans="1:15" ht="14.5" x14ac:dyDescent="0.35">
      <c r="A19" s="22"/>
      <c r="B19" s="22"/>
      <c r="C19" s="22"/>
      <c r="K19" s="17"/>
      <c r="M19" s="65"/>
      <c r="N19" s="65"/>
      <c r="O19" s="23"/>
    </row>
    <row r="20" spans="1:15" ht="14.5" x14ac:dyDescent="0.35">
      <c r="A20" s="76" t="s">
        <v>72</v>
      </c>
      <c r="B20" s="76"/>
      <c r="C20" s="76"/>
      <c r="E20" s="2" t="s">
        <v>52</v>
      </c>
      <c r="I20" s="59" t="s">
        <v>21</v>
      </c>
      <c r="J20" s="59"/>
      <c r="K20" s="59"/>
      <c r="M20" s="75" t="s">
        <v>36</v>
      </c>
      <c r="N20" s="75"/>
      <c r="O20" s="44">
        <f>G15-O18</f>
        <v>0</v>
      </c>
    </row>
    <row r="21" spans="1:15" ht="14.5" x14ac:dyDescent="0.35">
      <c r="A21" s="20" t="s">
        <v>41</v>
      </c>
      <c r="B21" s="20"/>
      <c r="C21" s="20"/>
      <c r="I21" s="62" t="s">
        <v>46</v>
      </c>
      <c r="J21" s="62"/>
      <c r="K21" s="16">
        <f>(IF(C9&gt;K8,K8,C9))*45</f>
        <v>0</v>
      </c>
      <c r="M21" s="24"/>
      <c r="N21" s="24"/>
      <c r="O21" s="25"/>
    </row>
    <row r="22" spans="1:15" ht="14.5" x14ac:dyDescent="0.35">
      <c r="A22" s="20" t="s">
        <v>55</v>
      </c>
      <c r="B22" s="20"/>
      <c r="C22" s="20"/>
      <c r="I22" s="62" t="s">
        <v>40</v>
      </c>
      <c r="J22" s="62"/>
      <c r="K22" s="16">
        <f>K12*K13</f>
        <v>0</v>
      </c>
      <c r="M22" s="75" t="s">
        <v>37</v>
      </c>
      <c r="N22" s="75"/>
      <c r="O22" s="45">
        <f>K26-O18</f>
        <v>0</v>
      </c>
    </row>
    <row r="23" spans="1:15" ht="14.5" x14ac:dyDescent="0.35">
      <c r="A23" s="20" t="s">
        <v>57</v>
      </c>
      <c r="I23" s="77" t="s">
        <v>58</v>
      </c>
      <c r="J23" s="78"/>
      <c r="K23" s="16">
        <f>IF((AND(C15="Oui",K7&lt;=C13)),K7*60.32,((C16*6.5)/100)*60.32)</f>
        <v>0</v>
      </c>
    </row>
    <row r="24" spans="1:15" ht="14.5" x14ac:dyDescent="0.35">
      <c r="A24" s="20" t="s">
        <v>56</v>
      </c>
      <c r="I24" s="77" t="s">
        <v>59</v>
      </c>
      <c r="J24" s="77"/>
      <c r="K24" s="16">
        <f>IF((AND(C17="Oui",K7&lt;=C13)),K7*73.04,((C18*6.5)/100)*73.04)</f>
        <v>0</v>
      </c>
    </row>
    <row r="25" spans="1:15" ht="14.5" x14ac:dyDescent="0.35">
      <c r="A25" s="26"/>
      <c r="B25" s="20"/>
      <c r="C25" s="20"/>
      <c r="I25" s="63" t="s">
        <v>22</v>
      </c>
      <c r="J25" s="67"/>
      <c r="K25" s="16">
        <f>K17*K18</f>
        <v>0</v>
      </c>
    </row>
    <row r="26" spans="1:15" ht="14.5" x14ac:dyDescent="0.35">
      <c r="A26" s="27" t="s">
        <v>73</v>
      </c>
      <c r="B26" s="20"/>
      <c r="C26" s="20"/>
      <c r="I26" s="74" t="s">
        <v>27</v>
      </c>
      <c r="J26" s="74"/>
      <c r="K26" s="18">
        <f>SUM(K21:K25)</f>
        <v>0</v>
      </c>
    </row>
    <row r="27" spans="1:15" ht="14.5" x14ac:dyDescent="0.35">
      <c r="A27" s="20" t="s">
        <v>42</v>
      </c>
      <c r="B27" s="20"/>
      <c r="C27" s="20"/>
      <c r="K27" s="28"/>
    </row>
    <row r="28" spans="1:15" ht="14.5" x14ac:dyDescent="0.35">
      <c r="A28" s="20" t="s">
        <v>67</v>
      </c>
      <c r="I28" s="79" t="s">
        <v>35</v>
      </c>
      <c r="J28" s="79"/>
      <c r="K28" s="46">
        <f>G15-K26</f>
        <v>0</v>
      </c>
    </row>
    <row r="29" spans="1:15" ht="14.5" x14ac:dyDescent="0.35">
      <c r="A29" s="20"/>
      <c r="I29" s="75"/>
      <c r="J29" s="75"/>
      <c r="K29" s="29"/>
    </row>
    <row r="30" spans="1:15" ht="14.5" x14ac:dyDescent="0.35">
      <c r="I30" s="30"/>
    </row>
    <row r="31" spans="1:15" ht="14.5" x14ac:dyDescent="0.35">
      <c r="A31" s="20"/>
      <c r="I31" s="20" t="s">
        <v>74</v>
      </c>
    </row>
    <row r="32" spans="1:15" ht="14.5" x14ac:dyDescent="0.35">
      <c r="A32" s="20"/>
      <c r="I32" s="20" t="s">
        <v>32</v>
      </c>
    </row>
    <row r="34" spans="9:9" ht="14.5" x14ac:dyDescent="0.35">
      <c r="I34" s="20" t="s">
        <v>75</v>
      </c>
    </row>
  </sheetData>
  <mergeCells count="69">
    <mergeCell ref="I23:J23"/>
    <mergeCell ref="I24:J24"/>
    <mergeCell ref="I25:J25"/>
    <mergeCell ref="I26:J26"/>
    <mergeCell ref="I28:J28"/>
    <mergeCell ref="I29:J29"/>
    <mergeCell ref="M19:N19"/>
    <mergeCell ref="A20:C20"/>
    <mergeCell ref="I20:K20"/>
    <mergeCell ref="M20:N20"/>
    <mergeCell ref="I21:J21"/>
    <mergeCell ref="I22:J22"/>
    <mergeCell ref="M22:N22"/>
    <mergeCell ref="A17:B17"/>
    <mergeCell ref="I17:J17"/>
    <mergeCell ref="M17:N17"/>
    <mergeCell ref="A18:B18"/>
    <mergeCell ref="I18:J18"/>
    <mergeCell ref="M18:N18"/>
    <mergeCell ref="A15:B15"/>
    <mergeCell ref="E15:F15"/>
    <mergeCell ref="I15:K15"/>
    <mergeCell ref="M15:N15"/>
    <mergeCell ref="A16:B16"/>
    <mergeCell ref="I16:J16"/>
    <mergeCell ref="M16:N16"/>
    <mergeCell ref="A13:B13"/>
    <mergeCell ref="E13:F13"/>
    <mergeCell ref="I13:J13"/>
    <mergeCell ref="A14:B14"/>
    <mergeCell ref="E14:F14"/>
    <mergeCell ref="M14:O14"/>
    <mergeCell ref="A11:B11"/>
    <mergeCell ref="I11:J11"/>
    <mergeCell ref="M11:N11"/>
    <mergeCell ref="A12:B12"/>
    <mergeCell ref="E12:G12"/>
    <mergeCell ref="I12:J12"/>
    <mergeCell ref="M12:N12"/>
    <mergeCell ref="A9:B9"/>
    <mergeCell ref="E9:F9"/>
    <mergeCell ref="M9:O9"/>
    <mergeCell ref="A10:C10"/>
    <mergeCell ref="E10:F10"/>
    <mergeCell ref="I10:K10"/>
    <mergeCell ref="M10:N10"/>
    <mergeCell ref="A7:B7"/>
    <mergeCell ref="E7:G7"/>
    <mergeCell ref="I7:J7"/>
    <mergeCell ref="M7:N7"/>
    <mergeCell ref="A8:C8"/>
    <mergeCell ref="E8:F8"/>
    <mergeCell ref="I8:J8"/>
    <mergeCell ref="A5:B5"/>
    <mergeCell ref="E5:F5"/>
    <mergeCell ref="I5:J5"/>
    <mergeCell ref="M5:N5"/>
    <mergeCell ref="A6:B6"/>
    <mergeCell ref="I6:J6"/>
    <mergeCell ref="M6:N6"/>
    <mergeCell ref="A1:O1"/>
    <mergeCell ref="A3:C3"/>
    <mergeCell ref="E3:G3"/>
    <mergeCell ref="I3:K3"/>
    <mergeCell ref="M3:O3"/>
    <mergeCell ref="A4:C4"/>
    <mergeCell ref="E4:G4"/>
    <mergeCell ref="I4:K4"/>
    <mergeCell ref="M4:O4"/>
  </mergeCells>
  <conditionalFormatting sqref="K28 O20 O22">
    <cfRule type="cellIs" dxfId="1" priority="1" operator="greaterThan">
      <formula>0</formula>
    </cfRule>
    <cfRule type="cellIs" dxfId="0" priority="2" operator="lessThan">
      <formula>0</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7F2F519D48ED499CE6ACF9774B650E" ma:contentTypeVersion="18" ma:contentTypeDescription="Crée un document." ma:contentTypeScope="" ma:versionID="9b664059362bcebc9ec2c8b3de0f9d80">
  <xsd:schema xmlns:xsd="http://www.w3.org/2001/XMLSchema" xmlns:xs="http://www.w3.org/2001/XMLSchema" xmlns:p="http://schemas.microsoft.com/office/2006/metadata/properties" xmlns:ns2="3daa46ea-af3d-4001-8e3b-331e22b52c8a" xmlns:ns3="85a5d83a-ca5f-4e82-a15a-e7137a362387" targetNamespace="http://schemas.microsoft.com/office/2006/metadata/properties" ma:root="true" ma:fieldsID="401a4f20f44c8a661a63ba2a874a4ff7" ns2:_="" ns3:_="">
    <xsd:import namespace="3daa46ea-af3d-4001-8e3b-331e22b52c8a"/>
    <xsd:import namespace="85a5d83a-ca5f-4e82-a15a-e7137a3623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CR" minOccurs="0"/>
                <xsd:element ref="ns2:MediaServiceAutoKeyPoints" minOccurs="0"/>
                <xsd:element ref="ns2:MediaServiceKeyPoint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a46ea-af3d-4001-8e3b-331e22b52c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adea0c76-54e0-44b6-9368-bd29acc106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a5d83a-ca5f-4e82-a15a-e7137a362387"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58fa5530-da48-464e-9601-01b68a528422}" ma:internalName="TaxCatchAll" ma:showField="CatchAllData" ma:web="85a5d83a-ca5f-4e82-a15a-e7137a3623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aa46ea-af3d-4001-8e3b-331e22b52c8a">
      <Terms xmlns="http://schemas.microsoft.com/office/infopath/2007/PartnerControls"/>
    </lcf76f155ced4ddcb4097134ff3c332f>
    <TaxCatchAll xmlns="85a5d83a-ca5f-4e82-a15a-e7137a36238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635849-9D8C-4B51-82CF-F6532F8A4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a46ea-af3d-4001-8e3b-331e22b52c8a"/>
    <ds:schemaRef ds:uri="85a5d83a-ca5f-4e82-a15a-e7137a3623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78C617-B050-477B-AF9B-8BA9BD573AEE}">
  <ds:schemaRefs>
    <ds:schemaRef ds:uri="http://schemas.microsoft.com/office/infopath/2007/PartnerControls"/>
    <ds:schemaRef ds:uri="http://www.w3.org/XML/1998/namespace"/>
    <ds:schemaRef ds:uri="http://schemas.microsoft.com/office/2006/documentManagement/types"/>
    <ds:schemaRef ds:uri="85a5d83a-ca5f-4e82-a15a-e7137a362387"/>
    <ds:schemaRef ds:uri="http://purl.org/dc/dcmitype/"/>
    <ds:schemaRef ds:uri="3daa46ea-af3d-4001-8e3b-331e22b52c8a"/>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59D5D27-DF0C-4BC9-B75D-5985E4A20A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Lis-moi-cas-Hervé</vt:lpstr>
      <vt:lpstr>Cas-de-Hervé</vt:lpstr>
      <vt:lpstr>Lis-moi-votre-cas</vt:lpstr>
      <vt:lpstr>Votre-cas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Emma Houplain</cp:lastModifiedBy>
  <dcterms:created xsi:type="dcterms:W3CDTF">2022-01-21T10:19:26Z</dcterms:created>
  <dcterms:modified xsi:type="dcterms:W3CDTF">2023-02-21T15:11:09Z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0x0101003A7F2F519D48ED499CE6ACF9774B650E</vt:lpwstr>
  </property>
  <property fmtid="{D5CDD505-2E9C-101B-9397-08002B2CF9AE}" pid="3" name="MediaServiceImageTags">
    <vt:lpwstr/>
  </property>
</Properties>
</file>